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W:\PRESUPUESTO 2025\EJECUCIONES 2025\12_DICIEMBRE 2025\"/>
    </mc:Choice>
  </mc:AlternateContent>
  <xr:revisionPtr revIDLastSave="0" documentId="8_{053E693F-17F1-4024-AFE4-5F667138E254}" xr6:coauthVersionLast="47" xr6:coauthVersionMax="47" xr10:uidLastSave="{00000000-0000-0000-0000-000000000000}"/>
  <bookViews>
    <workbookView xWindow="-120" yWindow="-120" windowWidth="20730" windowHeight="11040" tabRatio="735" activeTab="1" xr2:uid="{00000000-000D-0000-FFFF-FFFF00000000}"/>
  </bookViews>
  <sheets>
    <sheet name="DATOS" sheetId="1" r:id="rId1"/>
    <sheet name="FIRMA FORMULA" sheetId="5" r:id="rId2"/>
    <sheet name="SAP BOGDATA" sheetId="4" r:id="rId3"/>
  </sheets>
  <definedNames>
    <definedName name="_xlnm._FilterDatabase" localSheetId="0" hidden="1">DATOS!$A$1:$Q$114</definedName>
    <definedName name="_xlnm._FilterDatabase" localSheetId="1" hidden="1">'FIRMA FORMULA'!$B$9:$P$87</definedName>
    <definedName name="_xlnm._FilterDatabase" localSheetId="2" hidden="1">'SAP BOGDATA'!$A$9:$AE$133</definedName>
    <definedName name="_xlnm.Print_Area" localSheetId="1">'FIRMA FORMULA'!$B$1:$O$93</definedName>
    <definedName name="_xlnm.Print_Titles" localSheetId="1">'FIRMA FORMULA'!$1:$9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9" i="4" l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F114" i="1"/>
  <c r="H114" i="1" s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C54" i="1"/>
  <c r="C22" i="1"/>
  <c r="C15" i="1"/>
  <c r="I15" i="1"/>
  <c r="G15" i="1"/>
  <c r="M15" i="1"/>
  <c r="D15" i="1"/>
  <c r="J15" i="1"/>
  <c r="L15" i="1"/>
  <c r="D22" i="1"/>
  <c r="D19" i="1" s="1"/>
  <c r="G22" i="1"/>
  <c r="G19" i="1" s="1"/>
  <c r="J22" i="1"/>
  <c r="E22" i="1"/>
  <c r="I22" i="1"/>
  <c r="L22" i="1"/>
  <c r="L19" i="1" s="1"/>
  <c r="M22" i="1"/>
  <c r="G30" i="1"/>
  <c r="G29" i="1" s="1"/>
  <c r="C30" i="1"/>
  <c r="D30" i="1"/>
  <c r="D29" i="1" s="1"/>
  <c r="L30" i="1"/>
  <c r="L29" i="1" s="1"/>
  <c r="M30" i="1"/>
  <c r="I30" i="1"/>
  <c r="I29" i="1" s="1"/>
  <c r="E30" i="1"/>
  <c r="E29" i="1" s="1"/>
  <c r="C38" i="1"/>
  <c r="D38" i="1"/>
  <c r="L38" i="1"/>
  <c r="E38" i="1"/>
  <c r="G38" i="1"/>
  <c r="I38" i="1"/>
  <c r="J38" i="1"/>
  <c r="M38" i="1"/>
  <c r="D41" i="1"/>
  <c r="G41" i="1"/>
  <c r="J41" i="1"/>
  <c r="C41" i="1"/>
  <c r="E41" i="1"/>
  <c r="I41" i="1"/>
  <c r="L41" i="1"/>
  <c r="M41" i="1"/>
  <c r="E44" i="1"/>
  <c r="G44" i="1"/>
  <c r="C44" i="1"/>
  <c r="D44" i="1"/>
  <c r="L44" i="1"/>
  <c r="I44" i="1"/>
  <c r="D48" i="1"/>
  <c r="E48" i="1"/>
  <c r="G48" i="1"/>
  <c r="M48" i="1"/>
  <c r="I48" i="1"/>
  <c r="L48" i="1"/>
  <c r="C51" i="1"/>
  <c r="E51" i="1"/>
  <c r="G51" i="1"/>
  <c r="I51" i="1"/>
  <c r="L51" i="1"/>
  <c r="G54" i="1"/>
  <c r="I54" i="1"/>
  <c r="E54" i="1"/>
  <c r="L54" i="1"/>
  <c r="I57" i="1"/>
  <c r="C57" i="1"/>
  <c r="D57" i="1"/>
  <c r="E57" i="1"/>
  <c r="J57" i="1"/>
  <c r="L57" i="1"/>
  <c r="M57" i="1"/>
  <c r="G57" i="1"/>
  <c r="D60" i="1"/>
  <c r="G60" i="1"/>
  <c r="M60" i="1"/>
  <c r="I60" i="1"/>
  <c r="J60" i="1"/>
  <c r="L60" i="1"/>
  <c r="C65" i="1"/>
  <c r="C64" i="1" s="1"/>
  <c r="C63" i="1" s="1"/>
  <c r="D65" i="1"/>
  <c r="D64" i="1" s="1"/>
  <c r="D63" i="1" s="1"/>
  <c r="E65" i="1"/>
  <c r="E64" i="1" s="1"/>
  <c r="E63" i="1" s="1"/>
  <c r="J65" i="1"/>
  <c r="L65" i="1"/>
  <c r="L64" i="1" s="1"/>
  <c r="L63" i="1" s="1"/>
  <c r="M65" i="1"/>
  <c r="G65" i="1"/>
  <c r="G64" i="1" s="1"/>
  <c r="G63" i="1" s="1"/>
  <c r="I65" i="1"/>
  <c r="I64" i="1" s="1"/>
  <c r="I63" i="1" s="1"/>
  <c r="G68" i="1"/>
  <c r="G67" i="1" s="1"/>
  <c r="J68" i="1"/>
  <c r="K68" i="1" s="1"/>
  <c r="C68" i="1"/>
  <c r="C67" i="1" s="1"/>
  <c r="D68" i="1"/>
  <c r="D67" i="1" s="1"/>
  <c r="M68" i="1"/>
  <c r="I77" i="1"/>
  <c r="I76" i="1" s="1"/>
  <c r="M77" i="1"/>
  <c r="C77" i="1"/>
  <c r="C76" i="1" s="1"/>
  <c r="D77" i="1"/>
  <c r="D76" i="1" s="1"/>
  <c r="E77" i="1"/>
  <c r="E76" i="1" s="1"/>
  <c r="J77" i="1"/>
  <c r="L77" i="1"/>
  <c r="L76" i="1" s="1"/>
  <c r="G77" i="1"/>
  <c r="G76" i="1" s="1"/>
  <c r="C81" i="1"/>
  <c r="I81" i="1"/>
  <c r="E81" i="1"/>
  <c r="G81" i="1"/>
  <c r="L81" i="1"/>
  <c r="G84" i="1"/>
  <c r="I84" i="1"/>
  <c r="C84" i="1"/>
  <c r="E84" i="1"/>
  <c r="L84" i="1"/>
  <c r="I89" i="1"/>
  <c r="I88" i="1" s="1"/>
  <c r="I87" i="1" s="1"/>
  <c r="C89" i="1"/>
  <c r="C88" i="1" s="1"/>
  <c r="D89" i="1"/>
  <c r="D88" i="1" s="1"/>
  <c r="D87" i="1" s="1"/>
  <c r="E89" i="1"/>
  <c r="E88" i="1" s="1"/>
  <c r="E87" i="1" s="1"/>
  <c r="J89" i="1"/>
  <c r="L89" i="1"/>
  <c r="L88" i="1" s="1"/>
  <c r="L87" i="1" s="1"/>
  <c r="M89" i="1"/>
  <c r="G89" i="1"/>
  <c r="G88" i="1" s="1"/>
  <c r="G87" i="1" s="1"/>
  <c r="I95" i="1"/>
  <c r="L95" i="1"/>
  <c r="O95" i="1"/>
  <c r="C95" i="1"/>
  <c r="D95" i="1"/>
  <c r="E95" i="1"/>
  <c r="J95" i="1"/>
  <c r="G100" i="1"/>
  <c r="J100" i="1"/>
  <c r="D100" i="1"/>
  <c r="E100" i="1"/>
  <c r="I100" i="1"/>
  <c r="L103" i="1"/>
  <c r="D103" i="1"/>
  <c r="I103" i="1"/>
  <c r="E103" i="1"/>
  <c r="G103" i="1"/>
  <c r="C106" i="1"/>
  <c r="E106" i="1"/>
  <c r="J106" i="1"/>
  <c r="G106" i="1"/>
  <c r="I106" i="1"/>
  <c r="D106" i="1"/>
  <c r="L106" i="1"/>
  <c r="M106" i="1"/>
  <c r="D109" i="1"/>
  <c r="L109" i="1"/>
  <c r="E109" i="1"/>
  <c r="G109" i="1"/>
  <c r="I109" i="1"/>
  <c r="M109" i="1"/>
  <c r="C109" i="1"/>
  <c r="J112" i="1"/>
  <c r="L112" i="1"/>
  <c r="C112" i="1"/>
  <c r="D112" i="1"/>
  <c r="E112" i="1"/>
  <c r="G112" i="1"/>
  <c r="I112" i="1"/>
  <c r="M112" i="1"/>
  <c r="K114" i="1" l="1"/>
  <c r="N114" i="1"/>
  <c r="G37" i="1"/>
  <c r="J19" i="1"/>
  <c r="M76" i="1"/>
  <c r="J76" i="1"/>
  <c r="J88" i="1"/>
  <c r="L80" i="1"/>
  <c r="L75" i="1" s="1"/>
  <c r="L74" i="1" s="1"/>
  <c r="L73" i="1" s="1"/>
  <c r="L72" i="1" s="1"/>
  <c r="G80" i="1"/>
  <c r="G75" i="1" s="1"/>
  <c r="G74" i="1" s="1"/>
  <c r="G73" i="1" s="1"/>
  <c r="G72" i="1" s="1"/>
  <c r="I80" i="1"/>
  <c r="I75" i="1" s="1"/>
  <c r="I74" i="1" s="1"/>
  <c r="I73" i="1" s="1"/>
  <c r="I72" i="1" s="1"/>
  <c r="I47" i="1"/>
  <c r="D99" i="1"/>
  <c r="D94" i="1" s="1"/>
  <c r="D93" i="1" s="1"/>
  <c r="J87" i="1"/>
  <c r="L100" i="1"/>
  <c r="L99" i="1" s="1"/>
  <c r="L94" i="1" s="1"/>
  <c r="L93" i="1" s="1"/>
  <c r="C100" i="1"/>
  <c r="M88" i="1"/>
  <c r="J84" i="1"/>
  <c r="D81" i="1"/>
  <c r="J54" i="1"/>
  <c r="D51" i="1"/>
  <c r="L37" i="1"/>
  <c r="M103" i="1"/>
  <c r="M95" i="1"/>
  <c r="E68" i="1"/>
  <c r="E67" i="1" s="1"/>
  <c r="C48" i="1"/>
  <c r="D37" i="1"/>
  <c r="J103" i="1"/>
  <c r="I99" i="1"/>
  <c r="M81" i="1"/>
  <c r="M67" i="1"/>
  <c r="C60" i="1"/>
  <c r="M51" i="1"/>
  <c r="M44" i="1"/>
  <c r="C37" i="1"/>
  <c r="C19" i="1"/>
  <c r="J109" i="1"/>
  <c r="L68" i="1"/>
  <c r="L67" i="1" s="1"/>
  <c r="J48" i="1"/>
  <c r="I37" i="1"/>
  <c r="G99" i="1"/>
  <c r="I94" i="1"/>
  <c r="I93" i="1" s="1"/>
  <c r="C87" i="1"/>
  <c r="D84" i="1"/>
  <c r="J81" i="1"/>
  <c r="J67" i="1"/>
  <c r="K67" i="1" s="1"/>
  <c r="M64" i="1"/>
  <c r="D54" i="1"/>
  <c r="J51" i="1"/>
  <c r="G47" i="1"/>
  <c r="G95" i="1"/>
  <c r="C80" i="1"/>
  <c r="I68" i="1"/>
  <c r="I67" i="1" s="1"/>
  <c r="E37" i="1"/>
  <c r="I19" i="1"/>
  <c r="E99" i="1"/>
  <c r="E94" i="1" s="1"/>
  <c r="E93" i="1" s="1"/>
  <c r="M84" i="1"/>
  <c r="J64" i="1"/>
  <c r="M54" i="1"/>
  <c r="M100" i="1"/>
  <c r="E80" i="1"/>
  <c r="E75" i="1" s="1"/>
  <c r="E74" i="1" s="1"/>
  <c r="E73" i="1" s="1"/>
  <c r="E72" i="1" s="1"/>
  <c r="E60" i="1"/>
  <c r="E47" i="1" s="1"/>
  <c r="L47" i="1"/>
  <c r="M29" i="1"/>
  <c r="C29" i="1"/>
  <c r="M19" i="1"/>
  <c r="E19" i="1"/>
  <c r="E15" i="1"/>
  <c r="J44" i="1"/>
  <c r="J30" i="1"/>
  <c r="C103" i="1"/>
  <c r="G36" i="1" l="1"/>
  <c r="G35" i="1" s="1"/>
  <c r="D47" i="1"/>
  <c r="D36" i="1" s="1"/>
  <c r="D35" i="1" s="1"/>
  <c r="I36" i="1"/>
  <c r="I35" i="1" s="1"/>
  <c r="M37" i="1"/>
  <c r="M63" i="1"/>
  <c r="M80" i="1"/>
  <c r="M87" i="1"/>
  <c r="J29" i="1"/>
  <c r="J37" i="1"/>
  <c r="L36" i="1"/>
  <c r="L35" i="1" s="1"/>
  <c r="J63" i="1"/>
  <c r="E36" i="1"/>
  <c r="E35" i="1" s="1"/>
  <c r="C99" i="1"/>
  <c r="C75" i="1"/>
  <c r="G94" i="1"/>
  <c r="G93" i="1" s="1"/>
  <c r="J80" i="1"/>
  <c r="J99" i="1"/>
  <c r="M99" i="1"/>
  <c r="J47" i="1"/>
  <c r="M47" i="1"/>
  <c r="D80" i="1"/>
  <c r="D75" i="1" s="1"/>
  <c r="D74" i="1" s="1"/>
  <c r="D73" i="1" s="1"/>
  <c r="D72" i="1" s="1"/>
  <c r="C47" i="1"/>
  <c r="M75" i="1" l="1"/>
  <c r="M36" i="1"/>
  <c r="C36" i="1"/>
  <c r="J75" i="1"/>
  <c r="M94" i="1"/>
  <c r="C94" i="1"/>
  <c r="J94" i="1"/>
  <c r="J36" i="1"/>
  <c r="C74" i="1"/>
  <c r="J74" i="1" l="1"/>
  <c r="C35" i="1"/>
  <c r="C93" i="1"/>
  <c r="J35" i="1"/>
  <c r="M35" i="1"/>
  <c r="M74" i="1"/>
  <c r="J93" i="1"/>
  <c r="M93" i="1"/>
  <c r="C73" i="1"/>
  <c r="M73" i="1" l="1"/>
  <c r="J73" i="1"/>
  <c r="C72" i="1"/>
  <c r="J72" i="1" l="1"/>
  <c r="M72" i="1"/>
  <c r="F77" i="4" l="1"/>
  <c r="AK108" i="4" l="1"/>
  <c r="AK105" i="4"/>
  <c r="AK103" i="4"/>
  <c r="AK121" i="4"/>
  <c r="AE113" i="4" l="1"/>
  <c r="AB113" i="4"/>
  <c r="B113" i="4"/>
  <c r="B121" i="4" l="1"/>
  <c r="B120" i="4"/>
  <c r="B119" i="4"/>
  <c r="B118" i="4"/>
  <c r="B117" i="4"/>
  <c r="B116" i="4"/>
  <c r="B115" i="4"/>
  <c r="B114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D83" i="5" l="1"/>
  <c r="AE54" i="4"/>
  <c r="AE87" i="4"/>
  <c r="AE91" i="4"/>
  <c r="AE94" i="4"/>
  <c r="AE99" i="4"/>
  <c r="AE109" i="4"/>
  <c r="AE115" i="4"/>
  <c r="AB119" i="4" l="1"/>
  <c r="O120" i="4"/>
  <c r="N120" i="4"/>
  <c r="N119" i="4" s="1"/>
  <c r="L120" i="4"/>
  <c r="K120" i="4"/>
  <c r="K119" i="4" s="1"/>
  <c r="I120" i="4"/>
  <c r="I119" i="4" s="1"/>
  <c r="G120" i="4"/>
  <c r="G119" i="4" s="1"/>
  <c r="F120" i="4"/>
  <c r="F119" i="4" s="1"/>
  <c r="E120" i="4"/>
  <c r="O118" i="4"/>
  <c r="N118" i="4"/>
  <c r="L118" i="4"/>
  <c r="K118" i="4"/>
  <c r="I118" i="4"/>
  <c r="G118" i="4"/>
  <c r="F118" i="4"/>
  <c r="E118" i="4"/>
  <c r="O117" i="4"/>
  <c r="N117" i="4"/>
  <c r="L117" i="4"/>
  <c r="K117" i="4"/>
  <c r="I117" i="4"/>
  <c r="G117" i="4"/>
  <c r="F117" i="4"/>
  <c r="E117" i="4"/>
  <c r="O115" i="4"/>
  <c r="N115" i="4"/>
  <c r="L115" i="4"/>
  <c r="K115" i="4"/>
  <c r="I115" i="4"/>
  <c r="G115" i="4"/>
  <c r="F115" i="4"/>
  <c r="E115" i="4"/>
  <c r="O114" i="4"/>
  <c r="N114" i="4"/>
  <c r="L114" i="4"/>
  <c r="K114" i="4"/>
  <c r="I114" i="4"/>
  <c r="G114" i="4"/>
  <c r="F114" i="4"/>
  <c r="E114" i="4"/>
  <c r="O112" i="4"/>
  <c r="N112" i="4"/>
  <c r="L112" i="4"/>
  <c r="K112" i="4"/>
  <c r="I112" i="4"/>
  <c r="G112" i="4"/>
  <c r="F112" i="4"/>
  <c r="E112" i="4"/>
  <c r="O111" i="4"/>
  <c r="N111" i="4"/>
  <c r="L111" i="4"/>
  <c r="K111" i="4"/>
  <c r="I111" i="4"/>
  <c r="G111" i="4"/>
  <c r="F111" i="4"/>
  <c r="E111" i="4"/>
  <c r="O109" i="4"/>
  <c r="N109" i="4"/>
  <c r="L109" i="4"/>
  <c r="K109" i="4"/>
  <c r="I109" i="4"/>
  <c r="G109" i="4"/>
  <c r="F109" i="4"/>
  <c r="E109" i="4"/>
  <c r="O108" i="4"/>
  <c r="N108" i="4"/>
  <c r="L108" i="4"/>
  <c r="K108" i="4"/>
  <c r="I108" i="4"/>
  <c r="G108" i="4"/>
  <c r="F108" i="4"/>
  <c r="E108" i="4"/>
  <c r="O105" i="4"/>
  <c r="N105" i="4"/>
  <c r="L105" i="4"/>
  <c r="K105" i="4"/>
  <c r="I105" i="4"/>
  <c r="G105" i="4"/>
  <c r="F105" i="4"/>
  <c r="E105" i="4"/>
  <c r="O104" i="4"/>
  <c r="N104" i="4"/>
  <c r="L104" i="4"/>
  <c r="K104" i="4"/>
  <c r="I104" i="4"/>
  <c r="G104" i="4"/>
  <c r="F104" i="4"/>
  <c r="E104" i="4"/>
  <c r="O103" i="4"/>
  <c r="N103" i="4"/>
  <c r="L103" i="4"/>
  <c r="K103" i="4"/>
  <c r="I103" i="4"/>
  <c r="G103" i="4"/>
  <c r="F103" i="4"/>
  <c r="E103" i="4"/>
  <c r="O99" i="4"/>
  <c r="N99" i="4"/>
  <c r="L99" i="4"/>
  <c r="K99" i="4"/>
  <c r="I99" i="4"/>
  <c r="G99" i="4"/>
  <c r="F99" i="4"/>
  <c r="E99" i="4"/>
  <c r="O98" i="4"/>
  <c r="N98" i="4"/>
  <c r="L98" i="4"/>
  <c r="K98" i="4"/>
  <c r="I98" i="4"/>
  <c r="G98" i="4"/>
  <c r="F98" i="4"/>
  <c r="E98" i="4"/>
  <c r="O94" i="4"/>
  <c r="N94" i="4"/>
  <c r="L94" i="4"/>
  <c r="K94" i="4"/>
  <c r="I94" i="4"/>
  <c r="G94" i="4"/>
  <c r="F94" i="4"/>
  <c r="E94" i="4"/>
  <c r="O93" i="4"/>
  <c r="N93" i="4"/>
  <c r="L93" i="4"/>
  <c r="K93" i="4"/>
  <c r="I93" i="4"/>
  <c r="G93" i="4"/>
  <c r="F93" i="4"/>
  <c r="E93" i="4"/>
  <c r="O91" i="4"/>
  <c r="N91" i="4"/>
  <c r="L91" i="4"/>
  <c r="K91" i="4"/>
  <c r="I91" i="4"/>
  <c r="G91" i="4"/>
  <c r="F91" i="4"/>
  <c r="E91" i="4"/>
  <c r="O90" i="4"/>
  <c r="N90" i="4"/>
  <c r="L90" i="4"/>
  <c r="K90" i="4"/>
  <c r="I90" i="4"/>
  <c r="G90" i="4"/>
  <c r="F90" i="4"/>
  <c r="E90" i="4"/>
  <c r="O87" i="4"/>
  <c r="N87" i="4"/>
  <c r="L87" i="4"/>
  <c r="K87" i="4"/>
  <c r="I87" i="4"/>
  <c r="G87" i="4"/>
  <c r="F87" i="4"/>
  <c r="E87" i="4"/>
  <c r="O86" i="4"/>
  <c r="N86" i="4"/>
  <c r="L86" i="4"/>
  <c r="K86" i="4"/>
  <c r="I86" i="4"/>
  <c r="G86" i="4"/>
  <c r="F86" i="4"/>
  <c r="E86" i="4"/>
  <c r="O79" i="4"/>
  <c r="N79" i="4"/>
  <c r="L79" i="4"/>
  <c r="K79" i="4"/>
  <c r="I79" i="4"/>
  <c r="G79" i="4"/>
  <c r="F79" i="4"/>
  <c r="E79" i="4"/>
  <c r="O78" i="4"/>
  <c r="N78" i="4"/>
  <c r="L78" i="4"/>
  <c r="K78" i="4"/>
  <c r="I78" i="4"/>
  <c r="G78" i="4"/>
  <c r="F78" i="4"/>
  <c r="E78" i="4"/>
  <c r="O77" i="4"/>
  <c r="N77" i="4"/>
  <c r="L77" i="4"/>
  <c r="K77" i="4"/>
  <c r="I77" i="4"/>
  <c r="G77" i="4"/>
  <c r="E77" i="4"/>
  <c r="O74" i="4"/>
  <c r="N74" i="4"/>
  <c r="L74" i="4"/>
  <c r="K74" i="4"/>
  <c r="I74" i="4"/>
  <c r="G74" i="4"/>
  <c r="F74" i="4"/>
  <c r="E74" i="4"/>
  <c r="O70" i="4"/>
  <c r="N70" i="4"/>
  <c r="L70" i="4"/>
  <c r="K70" i="4"/>
  <c r="I70" i="4"/>
  <c r="G70" i="4"/>
  <c r="F70" i="4"/>
  <c r="E70" i="4"/>
  <c r="O69" i="4"/>
  <c r="N69" i="4"/>
  <c r="L69" i="4"/>
  <c r="K69" i="4"/>
  <c r="I69" i="4"/>
  <c r="G69" i="4"/>
  <c r="F69" i="4"/>
  <c r="E69" i="4"/>
  <c r="O67" i="4"/>
  <c r="N67" i="4"/>
  <c r="L67" i="4"/>
  <c r="K67" i="4"/>
  <c r="I67" i="4"/>
  <c r="G67" i="4"/>
  <c r="F67" i="4"/>
  <c r="E67" i="4"/>
  <c r="O66" i="4"/>
  <c r="N66" i="4"/>
  <c r="L66" i="4"/>
  <c r="K66" i="4"/>
  <c r="I66" i="4"/>
  <c r="G66" i="4"/>
  <c r="F66" i="4"/>
  <c r="E66" i="4"/>
  <c r="O64" i="4"/>
  <c r="N64" i="4"/>
  <c r="L64" i="4"/>
  <c r="K64" i="4"/>
  <c r="I64" i="4"/>
  <c r="G64" i="4"/>
  <c r="F64" i="4"/>
  <c r="E64" i="4"/>
  <c r="O63" i="4"/>
  <c r="N63" i="4"/>
  <c r="L63" i="4"/>
  <c r="K63" i="4"/>
  <c r="I63" i="4"/>
  <c r="G63" i="4"/>
  <c r="F63" i="4"/>
  <c r="E63" i="4"/>
  <c r="O61" i="4"/>
  <c r="N61" i="4"/>
  <c r="L61" i="4"/>
  <c r="K61" i="4"/>
  <c r="I61" i="4"/>
  <c r="G61" i="4"/>
  <c r="F61" i="4"/>
  <c r="E61" i="4"/>
  <c r="O60" i="4"/>
  <c r="N60" i="4"/>
  <c r="L60" i="4"/>
  <c r="K60" i="4"/>
  <c r="I60" i="4"/>
  <c r="G60" i="4"/>
  <c r="F60" i="4"/>
  <c r="E60" i="4"/>
  <c r="O58" i="4"/>
  <c r="N58" i="4"/>
  <c r="L58" i="4"/>
  <c r="K58" i="4"/>
  <c r="I58" i="4"/>
  <c r="G58" i="4"/>
  <c r="F58" i="4"/>
  <c r="E58" i="4"/>
  <c r="O57" i="4"/>
  <c r="N57" i="4"/>
  <c r="L57" i="4"/>
  <c r="K57" i="4"/>
  <c r="I57" i="4"/>
  <c r="G57" i="4"/>
  <c r="F57" i="4"/>
  <c r="E57" i="4"/>
  <c r="O54" i="4"/>
  <c r="N54" i="4"/>
  <c r="L54" i="4"/>
  <c r="K54" i="4"/>
  <c r="I54" i="4"/>
  <c r="G54" i="4"/>
  <c r="F54" i="4"/>
  <c r="E54" i="4"/>
  <c r="O53" i="4"/>
  <c r="N53" i="4"/>
  <c r="L53" i="4"/>
  <c r="K53" i="4"/>
  <c r="I53" i="4"/>
  <c r="G53" i="4"/>
  <c r="F53" i="4"/>
  <c r="E53" i="4"/>
  <c r="O51" i="4"/>
  <c r="N51" i="4"/>
  <c r="L51" i="4"/>
  <c r="K51" i="4"/>
  <c r="I51" i="4"/>
  <c r="G51" i="4"/>
  <c r="F51" i="4"/>
  <c r="E51" i="4"/>
  <c r="O50" i="4"/>
  <c r="N50" i="4"/>
  <c r="L50" i="4"/>
  <c r="K50" i="4"/>
  <c r="I50" i="4"/>
  <c r="G50" i="4"/>
  <c r="F50" i="4"/>
  <c r="E50" i="4"/>
  <c r="O48" i="4"/>
  <c r="N48" i="4"/>
  <c r="L48" i="4"/>
  <c r="K48" i="4"/>
  <c r="I48" i="4"/>
  <c r="G48" i="4"/>
  <c r="F48" i="4"/>
  <c r="E48" i="4"/>
  <c r="O47" i="4"/>
  <c r="N47" i="4"/>
  <c r="L47" i="4"/>
  <c r="K47" i="4"/>
  <c r="I47" i="4"/>
  <c r="G47" i="4"/>
  <c r="F47" i="4"/>
  <c r="E47" i="4"/>
  <c r="O42" i="4"/>
  <c r="N42" i="4"/>
  <c r="L42" i="4"/>
  <c r="K42" i="4"/>
  <c r="I42" i="4"/>
  <c r="G42" i="4"/>
  <c r="F42" i="4"/>
  <c r="E42" i="4"/>
  <c r="O41" i="4"/>
  <c r="N41" i="4"/>
  <c r="L41" i="4"/>
  <c r="K41" i="4"/>
  <c r="I41" i="4"/>
  <c r="G41" i="4"/>
  <c r="F41" i="4"/>
  <c r="E41" i="4"/>
  <c r="O40" i="4"/>
  <c r="N40" i="4"/>
  <c r="L40" i="4"/>
  <c r="K40" i="4"/>
  <c r="I40" i="4"/>
  <c r="G40" i="4"/>
  <c r="F40" i="4"/>
  <c r="E40" i="4"/>
  <c r="O39" i="4"/>
  <c r="N39" i="4"/>
  <c r="L39" i="4"/>
  <c r="K39" i="4"/>
  <c r="I39" i="4"/>
  <c r="G39" i="4"/>
  <c r="F39" i="4"/>
  <c r="E39" i="4"/>
  <c r="O36" i="4"/>
  <c r="N36" i="4"/>
  <c r="L36" i="4"/>
  <c r="K36" i="4"/>
  <c r="I36" i="4"/>
  <c r="G36" i="4"/>
  <c r="F36" i="4"/>
  <c r="E36" i="4"/>
  <c r="O35" i="4"/>
  <c r="N35" i="4"/>
  <c r="L35" i="4"/>
  <c r="K35" i="4"/>
  <c r="I35" i="4"/>
  <c r="G35" i="4"/>
  <c r="F35" i="4"/>
  <c r="E35" i="4"/>
  <c r="O34" i="4"/>
  <c r="N34" i="4"/>
  <c r="L34" i="4"/>
  <c r="K34" i="4"/>
  <c r="I34" i="4"/>
  <c r="G34" i="4"/>
  <c r="F34" i="4"/>
  <c r="E34" i="4"/>
  <c r="O33" i="4"/>
  <c r="N33" i="4"/>
  <c r="L33" i="4"/>
  <c r="K33" i="4"/>
  <c r="I33" i="4"/>
  <c r="G33" i="4"/>
  <c r="F33" i="4"/>
  <c r="E33" i="4"/>
  <c r="O32" i="4"/>
  <c r="N32" i="4"/>
  <c r="L32" i="4"/>
  <c r="K32" i="4"/>
  <c r="I32" i="4"/>
  <c r="G32" i="4"/>
  <c r="F32" i="4"/>
  <c r="E32" i="4"/>
  <c r="O31" i="4"/>
  <c r="N31" i="4"/>
  <c r="L31" i="4"/>
  <c r="K31" i="4"/>
  <c r="I31" i="4"/>
  <c r="G31" i="4"/>
  <c r="F31" i="4"/>
  <c r="E31" i="4"/>
  <c r="O29" i="4"/>
  <c r="N29" i="4"/>
  <c r="L29" i="4"/>
  <c r="K29" i="4"/>
  <c r="I29" i="4"/>
  <c r="G29" i="4"/>
  <c r="F29" i="4"/>
  <c r="E29" i="4"/>
  <c r="O28" i="4"/>
  <c r="N28" i="4"/>
  <c r="L28" i="4"/>
  <c r="K28" i="4"/>
  <c r="I28" i="4"/>
  <c r="G28" i="4"/>
  <c r="F28" i="4"/>
  <c r="E28" i="4"/>
  <c r="O26" i="4"/>
  <c r="N26" i="4"/>
  <c r="L26" i="4"/>
  <c r="K26" i="4"/>
  <c r="I26" i="4"/>
  <c r="G26" i="4"/>
  <c r="F26" i="4"/>
  <c r="E26" i="4"/>
  <c r="O25" i="4"/>
  <c r="N25" i="4"/>
  <c r="L25" i="4"/>
  <c r="K25" i="4"/>
  <c r="I25" i="4"/>
  <c r="G25" i="4"/>
  <c r="F25" i="4"/>
  <c r="E25" i="4"/>
  <c r="O24" i="4"/>
  <c r="N24" i="4"/>
  <c r="L24" i="4"/>
  <c r="K24" i="4"/>
  <c r="I24" i="4"/>
  <c r="G24" i="4"/>
  <c r="F24" i="4"/>
  <c r="E24" i="4"/>
  <c r="O22" i="4"/>
  <c r="N22" i="4"/>
  <c r="L22" i="4"/>
  <c r="K22" i="4"/>
  <c r="I22" i="4"/>
  <c r="G22" i="4"/>
  <c r="F22" i="4"/>
  <c r="E22" i="4"/>
  <c r="O21" i="4"/>
  <c r="N21" i="4"/>
  <c r="L21" i="4"/>
  <c r="K21" i="4"/>
  <c r="I21" i="4"/>
  <c r="G21" i="4"/>
  <c r="F21" i="4"/>
  <c r="E21" i="4"/>
  <c r="O20" i="4"/>
  <c r="N20" i="4"/>
  <c r="L20" i="4"/>
  <c r="K20" i="4"/>
  <c r="I20" i="4"/>
  <c r="G20" i="4"/>
  <c r="F20" i="4"/>
  <c r="E20" i="4"/>
  <c r="O19" i="4"/>
  <c r="N19" i="4"/>
  <c r="L19" i="4"/>
  <c r="K19" i="4"/>
  <c r="I19" i="4"/>
  <c r="G19" i="4"/>
  <c r="F19" i="4"/>
  <c r="E19" i="4"/>
  <c r="O18" i="4"/>
  <c r="N18" i="4"/>
  <c r="L18" i="4"/>
  <c r="K18" i="4"/>
  <c r="I18" i="4"/>
  <c r="G18" i="4"/>
  <c r="F18" i="4"/>
  <c r="E18" i="4"/>
  <c r="O17" i="4"/>
  <c r="N17" i="4"/>
  <c r="L17" i="4"/>
  <c r="K17" i="4"/>
  <c r="I17" i="4"/>
  <c r="G17" i="4"/>
  <c r="F17" i="4"/>
  <c r="E17" i="4"/>
  <c r="O16" i="4"/>
  <c r="N16" i="4"/>
  <c r="L16" i="4"/>
  <c r="K16" i="4"/>
  <c r="I16" i="4"/>
  <c r="G16" i="4"/>
  <c r="F16" i="4"/>
  <c r="AB107" i="4"/>
  <c r="E16" i="4"/>
  <c r="P87" i="5"/>
  <c r="P86" i="5"/>
  <c r="P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N74" i="5"/>
  <c r="M74" i="5"/>
  <c r="K74" i="5"/>
  <c r="J74" i="5"/>
  <c r="H74" i="5"/>
  <c r="F74" i="5"/>
  <c r="E74" i="5"/>
  <c r="D74" i="5"/>
  <c r="N78" i="5"/>
  <c r="M78" i="5"/>
  <c r="K78" i="5"/>
  <c r="J78" i="5"/>
  <c r="H78" i="5"/>
  <c r="F78" i="5"/>
  <c r="E78" i="5"/>
  <c r="D78" i="5"/>
  <c r="N79" i="5"/>
  <c r="M79" i="5"/>
  <c r="K79" i="5"/>
  <c r="J79" i="5"/>
  <c r="H79" i="5"/>
  <c r="F79" i="5"/>
  <c r="E79" i="5"/>
  <c r="D79" i="5"/>
  <c r="N83" i="5"/>
  <c r="M83" i="5"/>
  <c r="K83" i="5"/>
  <c r="J83" i="5"/>
  <c r="H83" i="5"/>
  <c r="F83" i="5"/>
  <c r="E83" i="5"/>
  <c r="J82" i="5"/>
  <c r="H82" i="5"/>
  <c r="F82" i="5"/>
  <c r="E82" i="5"/>
  <c r="F73" i="5"/>
  <c r="E73" i="5"/>
  <c r="H70" i="5"/>
  <c r="F70" i="5"/>
  <c r="E70" i="5"/>
  <c r="J69" i="5"/>
  <c r="H69" i="5"/>
  <c r="F69" i="5"/>
  <c r="E69" i="5"/>
  <c r="H67" i="5"/>
  <c r="F67" i="5"/>
  <c r="M52" i="5"/>
  <c r="J52" i="5"/>
  <c r="H52" i="5"/>
  <c r="F52" i="5"/>
  <c r="E67" i="5"/>
  <c r="E52" i="5"/>
  <c r="H73" i="5"/>
  <c r="I113" i="4" l="1"/>
  <c r="G132" i="4"/>
  <c r="K113" i="4"/>
  <c r="O119" i="4"/>
  <c r="L113" i="4"/>
  <c r="G113" i="4"/>
  <c r="N113" i="4"/>
  <c r="F113" i="4"/>
  <c r="O113" i="4"/>
  <c r="E113" i="4"/>
  <c r="G128" i="4"/>
  <c r="AB97" i="4"/>
  <c r="AB52" i="4"/>
  <c r="AB68" i="4"/>
  <c r="AB92" i="4"/>
  <c r="G131" i="4"/>
  <c r="G129" i="4"/>
  <c r="H131" i="4"/>
  <c r="H132" i="4"/>
  <c r="E131" i="4"/>
  <c r="H127" i="4"/>
  <c r="E129" i="4"/>
  <c r="E128" i="4"/>
  <c r="E132" i="4"/>
  <c r="H128" i="4"/>
  <c r="G127" i="4"/>
  <c r="E133" i="4"/>
  <c r="E127" i="4"/>
  <c r="G133" i="4"/>
  <c r="H129" i="4"/>
  <c r="H133" i="4"/>
  <c r="K52" i="4"/>
  <c r="L52" i="4"/>
  <c r="I97" i="4"/>
  <c r="N92" i="4"/>
  <c r="N89" i="4"/>
  <c r="AB85" i="4"/>
  <c r="AB110" i="4"/>
  <c r="AB89" i="4"/>
  <c r="G85" i="4"/>
  <c r="K97" i="4"/>
  <c r="I89" i="4"/>
  <c r="N107" i="4"/>
  <c r="L85" i="4"/>
  <c r="N85" i="4"/>
  <c r="N97" i="4"/>
  <c r="K52" i="5"/>
  <c r="K70" i="5"/>
  <c r="N67" i="5"/>
  <c r="N69" i="5"/>
  <c r="N70" i="5"/>
  <c r="N73" i="5"/>
  <c r="K73" i="5"/>
  <c r="N82" i="5"/>
  <c r="K67" i="5"/>
  <c r="K82" i="5"/>
  <c r="I85" i="4"/>
  <c r="N52" i="5"/>
  <c r="K69" i="5"/>
  <c r="G107" i="4"/>
  <c r="K85" i="4"/>
  <c r="F92" i="4"/>
  <c r="F52" i="4"/>
  <c r="G89" i="4"/>
  <c r="F107" i="4"/>
  <c r="F89" i="4"/>
  <c r="G92" i="4"/>
  <c r="F97" i="4"/>
  <c r="N52" i="4"/>
  <c r="AD54" i="4"/>
  <c r="AD87" i="4"/>
  <c r="AD91" i="4"/>
  <c r="AD94" i="4"/>
  <c r="AD99" i="4"/>
  <c r="AD109" i="4"/>
  <c r="AD115" i="4"/>
  <c r="L119" i="4"/>
  <c r="AD120" i="4"/>
  <c r="AD119" i="4" s="1"/>
  <c r="K92" i="4"/>
  <c r="I52" i="4"/>
  <c r="I92" i="4"/>
  <c r="K89" i="4"/>
  <c r="H118" i="4"/>
  <c r="J118" i="4" s="1"/>
  <c r="M118" i="4" s="1"/>
  <c r="AD17" i="4"/>
  <c r="AD18" i="4"/>
  <c r="AD19" i="4"/>
  <c r="AD20" i="4"/>
  <c r="AD21" i="4"/>
  <c r="AD22" i="4"/>
  <c r="AD24" i="4"/>
  <c r="AD25" i="4"/>
  <c r="AD26" i="4"/>
  <c r="AD28" i="4"/>
  <c r="AD29" i="4"/>
  <c r="AD31" i="4"/>
  <c r="AD32" i="4"/>
  <c r="AD33" i="4"/>
  <c r="AD34" i="4"/>
  <c r="AD35" i="4"/>
  <c r="AD36" i="4"/>
  <c r="AD39" i="4"/>
  <c r="AD40" i="4"/>
  <c r="AD41" i="4"/>
  <c r="AD42" i="4"/>
  <c r="AD47" i="4"/>
  <c r="AD48" i="4"/>
  <c r="AD50" i="4"/>
  <c r="AD51" i="4"/>
  <c r="AD53" i="4"/>
  <c r="AD57" i="4"/>
  <c r="AD58" i="4"/>
  <c r="AD60" i="4"/>
  <c r="AD61" i="4"/>
  <c r="AD63" i="4"/>
  <c r="AD64" i="4"/>
  <c r="AD66" i="4"/>
  <c r="AD67" i="4"/>
  <c r="AD69" i="4"/>
  <c r="AD70" i="4"/>
  <c r="AD74" i="4"/>
  <c r="AD77" i="4"/>
  <c r="AD78" i="4"/>
  <c r="AD79" i="4"/>
  <c r="AD86" i="4"/>
  <c r="L89" i="4"/>
  <c r="AD90" i="4"/>
  <c r="L92" i="4"/>
  <c r="AD93" i="4"/>
  <c r="L97" i="4"/>
  <c r="AD98" i="4"/>
  <c r="AD103" i="4"/>
  <c r="AD104" i="4"/>
  <c r="AD105" i="4"/>
  <c r="L107" i="4"/>
  <c r="AD108" i="4"/>
  <c r="AD111" i="4"/>
  <c r="AD112" i="4"/>
  <c r="AD114" i="4"/>
  <c r="AD117" i="4"/>
  <c r="AD118" i="4"/>
  <c r="O89" i="4"/>
  <c r="O107" i="4"/>
  <c r="H78" i="4"/>
  <c r="J78" i="4" s="1"/>
  <c r="M78" i="4" s="1"/>
  <c r="H79" i="4"/>
  <c r="J79" i="4" s="1"/>
  <c r="P79" i="4" s="1"/>
  <c r="H86" i="4"/>
  <c r="J86" i="4" s="1"/>
  <c r="M86" i="4" s="1"/>
  <c r="H87" i="4"/>
  <c r="J87" i="4" s="1"/>
  <c r="P87" i="4" s="1"/>
  <c r="H90" i="4"/>
  <c r="J90" i="4" s="1"/>
  <c r="M90" i="4" s="1"/>
  <c r="H93" i="4"/>
  <c r="J93" i="4" s="1"/>
  <c r="P93" i="4" s="1"/>
  <c r="H94" i="4"/>
  <c r="J94" i="4" s="1"/>
  <c r="M94" i="4" s="1"/>
  <c r="H98" i="4"/>
  <c r="J98" i="4" s="1"/>
  <c r="P98" i="4" s="1"/>
  <c r="H99" i="4"/>
  <c r="J99" i="4" s="1"/>
  <c r="P99" i="4" s="1"/>
  <c r="H103" i="4"/>
  <c r="J103" i="4" s="1"/>
  <c r="M103" i="4" s="1"/>
  <c r="H104" i="4"/>
  <c r="J104" i="4" s="1"/>
  <c r="P104" i="4" s="1"/>
  <c r="H105" i="4"/>
  <c r="J105" i="4" s="1"/>
  <c r="M105" i="4" s="1"/>
  <c r="H109" i="4"/>
  <c r="J109" i="4" s="1"/>
  <c r="P109" i="4" s="1"/>
  <c r="H111" i="4"/>
  <c r="J111" i="4" s="1"/>
  <c r="M111" i="4" s="1"/>
  <c r="H112" i="4"/>
  <c r="J112" i="4" s="1"/>
  <c r="M112" i="4" s="1"/>
  <c r="H114" i="4"/>
  <c r="H115" i="4"/>
  <c r="J115" i="4" s="1"/>
  <c r="M115" i="4" s="1"/>
  <c r="H117" i="4"/>
  <c r="J117" i="4" s="1"/>
  <c r="M117" i="4" s="1"/>
  <c r="E107" i="4"/>
  <c r="F85" i="4"/>
  <c r="H120" i="4"/>
  <c r="H119" i="4" s="1"/>
  <c r="O85" i="4"/>
  <c r="H17" i="4"/>
  <c r="J17" i="4" s="1"/>
  <c r="M17" i="4" s="1"/>
  <c r="H18" i="4"/>
  <c r="J18" i="4" s="1"/>
  <c r="P18" i="4" s="1"/>
  <c r="H19" i="4"/>
  <c r="J19" i="4" s="1"/>
  <c r="P19" i="4" s="1"/>
  <c r="H20" i="4"/>
  <c r="J20" i="4" s="1"/>
  <c r="P20" i="4" s="1"/>
  <c r="H21" i="4"/>
  <c r="J21" i="4" s="1"/>
  <c r="P21" i="4" s="1"/>
  <c r="H22" i="4"/>
  <c r="J22" i="4" s="1"/>
  <c r="P22" i="4" s="1"/>
  <c r="H24" i="4"/>
  <c r="J24" i="4" s="1"/>
  <c r="P24" i="4" s="1"/>
  <c r="H25" i="4"/>
  <c r="J25" i="4" s="1"/>
  <c r="M25" i="4" s="1"/>
  <c r="H26" i="4"/>
  <c r="J26" i="4" s="1"/>
  <c r="M26" i="4" s="1"/>
  <c r="H28" i="4"/>
  <c r="J28" i="4" s="1"/>
  <c r="M28" i="4" s="1"/>
  <c r="H29" i="4"/>
  <c r="J29" i="4" s="1"/>
  <c r="M29" i="4" s="1"/>
  <c r="H31" i="4"/>
  <c r="J31" i="4" s="1"/>
  <c r="M31" i="4" s="1"/>
  <c r="H32" i="4"/>
  <c r="J32" i="4" s="1"/>
  <c r="M32" i="4" s="1"/>
  <c r="H33" i="4"/>
  <c r="J33" i="4" s="1"/>
  <c r="M33" i="4" s="1"/>
  <c r="H34" i="4"/>
  <c r="J34" i="4" s="1"/>
  <c r="P34" i="4" s="1"/>
  <c r="H35" i="4"/>
  <c r="J35" i="4" s="1"/>
  <c r="M35" i="4" s="1"/>
  <c r="H36" i="4"/>
  <c r="J36" i="4" s="1"/>
  <c r="M36" i="4" s="1"/>
  <c r="H39" i="4"/>
  <c r="J39" i="4" s="1"/>
  <c r="P39" i="4" s="1"/>
  <c r="H40" i="4"/>
  <c r="J40" i="4" s="1"/>
  <c r="P40" i="4" s="1"/>
  <c r="H41" i="4"/>
  <c r="J41" i="4" s="1"/>
  <c r="P41" i="4" s="1"/>
  <c r="H42" i="4"/>
  <c r="J42" i="4" s="1"/>
  <c r="P42" i="4" s="1"/>
  <c r="H47" i="4"/>
  <c r="J47" i="4" s="1"/>
  <c r="P47" i="4" s="1"/>
  <c r="H48" i="4"/>
  <c r="J48" i="4" s="1"/>
  <c r="P48" i="4" s="1"/>
  <c r="H50" i="4"/>
  <c r="J50" i="4" s="1"/>
  <c r="M50" i="4" s="1"/>
  <c r="H51" i="4"/>
  <c r="J51" i="4" s="1"/>
  <c r="M51" i="4" s="1"/>
  <c r="H53" i="4"/>
  <c r="J53" i="4" s="1"/>
  <c r="P53" i="4" s="1"/>
  <c r="E52" i="4"/>
  <c r="H57" i="4"/>
  <c r="J57" i="4" s="1"/>
  <c r="M57" i="4" s="1"/>
  <c r="H58" i="4"/>
  <c r="J58" i="4" s="1"/>
  <c r="P58" i="4" s="1"/>
  <c r="H60" i="4"/>
  <c r="J60" i="4" s="1"/>
  <c r="M60" i="4" s="1"/>
  <c r="H61" i="4"/>
  <c r="J61" i="4" s="1"/>
  <c r="P61" i="4" s="1"/>
  <c r="H63" i="4"/>
  <c r="J63" i="4" s="1"/>
  <c r="M63" i="4" s="1"/>
  <c r="H64" i="4"/>
  <c r="J64" i="4" s="1"/>
  <c r="M64" i="4" s="1"/>
  <c r="H66" i="4"/>
  <c r="J66" i="4" s="1"/>
  <c r="M66" i="4" s="1"/>
  <c r="H67" i="4"/>
  <c r="J67" i="4" s="1"/>
  <c r="P67" i="4" s="1"/>
  <c r="H69" i="4"/>
  <c r="J69" i="4" s="1"/>
  <c r="M69" i="4" s="1"/>
  <c r="H70" i="4"/>
  <c r="J70" i="4" s="1"/>
  <c r="P70" i="4" s="1"/>
  <c r="H74" i="4"/>
  <c r="J74" i="4" s="1"/>
  <c r="P74" i="4" s="1"/>
  <c r="H77" i="4"/>
  <c r="J77" i="4" s="1"/>
  <c r="P77" i="4" s="1"/>
  <c r="E89" i="4"/>
  <c r="E119" i="4"/>
  <c r="D70" i="5"/>
  <c r="G70" i="5" s="1"/>
  <c r="I70" i="5" s="1"/>
  <c r="G52" i="4"/>
  <c r="G97" i="4"/>
  <c r="E85" i="4"/>
  <c r="I107" i="4"/>
  <c r="K107" i="4"/>
  <c r="O52" i="4"/>
  <c r="O97" i="4"/>
  <c r="E92" i="4"/>
  <c r="O92" i="4"/>
  <c r="E97" i="4"/>
  <c r="H54" i="4"/>
  <c r="J54" i="4" s="1"/>
  <c r="P54" i="4" s="1"/>
  <c r="H91" i="4"/>
  <c r="J91" i="4" s="1"/>
  <c r="P91" i="4" s="1"/>
  <c r="H108" i="4"/>
  <c r="G79" i="5"/>
  <c r="I79" i="5" s="1"/>
  <c r="L79" i="5" s="1"/>
  <c r="G78" i="5"/>
  <c r="I78" i="5" s="1"/>
  <c r="L78" i="5" s="1"/>
  <c r="G74" i="5"/>
  <c r="I74" i="5" s="1"/>
  <c r="L74" i="5" s="1"/>
  <c r="J73" i="5"/>
  <c r="J67" i="5"/>
  <c r="X119" i="4" l="1"/>
  <c r="P26" i="4"/>
  <c r="P50" i="4"/>
  <c r="M61" i="4"/>
  <c r="P17" i="4"/>
  <c r="P35" i="4"/>
  <c r="M48" i="4"/>
  <c r="P25" i="4"/>
  <c r="M34" i="4"/>
  <c r="M109" i="4"/>
  <c r="M24" i="4"/>
  <c r="M93" i="4"/>
  <c r="P69" i="4"/>
  <c r="P118" i="4"/>
  <c r="M91" i="4"/>
  <c r="P111" i="4"/>
  <c r="P36" i="4"/>
  <c r="P94" i="4"/>
  <c r="P64" i="4"/>
  <c r="M77" i="4"/>
  <c r="P90" i="4"/>
  <c r="P117" i="4"/>
  <c r="P66" i="4"/>
  <c r="P60" i="4"/>
  <c r="P33" i="4"/>
  <c r="M74" i="4"/>
  <c r="M47" i="4"/>
  <c r="M22" i="4"/>
  <c r="P112" i="4"/>
  <c r="P32" i="4"/>
  <c r="P105" i="4"/>
  <c r="P57" i="4"/>
  <c r="P31" i="4"/>
  <c r="M70" i="4"/>
  <c r="M58" i="4"/>
  <c r="M42" i="4"/>
  <c r="M21" i="4"/>
  <c r="P115" i="4"/>
  <c r="P86" i="4"/>
  <c r="P29" i="4"/>
  <c r="P51" i="4"/>
  <c r="P28" i="4"/>
  <c r="M104" i="4"/>
  <c r="M87" i="4"/>
  <c r="M41" i="4"/>
  <c r="M20" i="4"/>
  <c r="M67" i="4"/>
  <c r="M54" i="4"/>
  <c r="M40" i="4"/>
  <c r="M19" i="4"/>
  <c r="M99" i="4"/>
  <c r="M53" i="4"/>
  <c r="M39" i="4"/>
  <c r="M18" i="4"/>
  <c r="P78" i="4"/>
  <c r="M98" i="4"/>
  <c r="M79" i="4"/>
  <c r="P63" i="4"/>
  <c r="P103" i="4"/>
  <c r="AD113" i="4"/>
  <c r="J114" i="4"/>
  <c r="H113" i="4"/>
  <c r="AB88" i="4"/>
  <c r="G130" i="4"/>
  <c r="G126" i="4"/>
  <c r="H130" i="4"/>
  <c r="E126" i="4"/>
  <c r="E130" i="4"/>
  <c r="H126" i="4"/>
  <c r="F128" i="4"/>
  <c r="F131" i="4"/>
  <c r="F132" i="4"/>
  <c r="O70" i="5"/>
  <c r="N88" i="4"/>
  <c r="I88" i="4"/>
  <c r="D69" i="5"/>
  <c r="G69" i="5" s="1"/>
  <c r="I69" i="5" s="1"/>
  <c r="L69" i="5" s="1"/>
  <c r="K88" i="4"/>
  <c r="AD107" i="4"/>
  <c r="F88" i="4"/>
  <c r="G88" i="4"/>
  <c r="L88" i="4"/>
  <c r="O79" i="5"/>
  <c r="M70" i="5"/>
  <c r="D67" i="5"/>
  <c r="G67" i="5" s="1"/>
  <c r="I67" i="5" s="1"/>
  <c r="L67" i="5" s="1"/>
  <c r="M67" i="5"/>
  <c r="M69" i="5"/>
  <c r="M73" i="5"/>
  <c r="D73" i="5"/>
  <c r="G73" i="5" s="1"/>
  <c r="I73" i="5" s="1"/>
  <c r="L73" i="5" s="1"/>
  <c r="J70" i="5"/>
  <c r="M82" i="5"/>
  <c r="O88" i="4"/>
  <c r="H97" i="4"/>
  <c r="AD92" i="4"/>
  <c r="AD97" i="4"/>
  <c r="AD89" i="4"/>
  <c r="J120" i="4"/>
  <c r="AD85" i="4"/>
  <c r="H92" i="4"/>
  <c r="H85" i="4"/>
  <c r="O74" i="5"/>
  <c r="D52" i="5"/>
  <c r="G52" i="5" s="1"/>
  <c r="I52" i="5" s="1"/>
  <c r="L52" i="5" s="1"/>
  <c r="D82" i="5"/>
  <c r="E88" i="4"/>
  <c r="J108" i="4"/>
  <c r="H107" i="4"/>
  <c r="J85" i="4"/>
  <c r="M85" i="4" s="1"/>
  <c r="J97" i="4"/>
  <c r="M97" i="4" s="1"/>
  <c r="J92" i="4"/>
  <c r="P92" i="4" s="1"/>
  <c r="J52" i="4"/>
  <c r="M52" i="4" s="1"/>
  <c r="H52" i="4"/>
  <c r="H89" i="4"/>
  <c r="J89" i="4"/>
  <c r="P89" i="4" s="1"/>
  <c r="L70" i="5"/>
  <c r="O78" i="5"/>
  <c r="AE122" i="4"/>
  <c r="AE121" i="4"/>
  <c r="AE119" i="4"/>
  <c r="AE118" i="4"/>
  <c r="AE117" i="4"/>
  <c r="AE116" i="4"/>
  <c r="AE114" i="4"/>
  <c r="AE112" i="4"/>
  <c r="AE110" i="4"/>
  <c r="AE107" i="4"/>
  <c r="AE106" i="4"/>
  <c r="AE105" i="4"/>
  <c r="AE104" i="4"/>
  <c r="AE103" i="4"/>
  <c r="AE102" i="4"/>
  <c r="AE101" i="4"/>
  <c r="AE100" i="4"/>
  <c r="AE97" i="4"/>
  <c r="AE96" i="4"/>
  <c r="AE95" i="4"/>
  <c r="AE92" i="4"/>
  <c r="AE89" i="4"/>
  <c r="AE85" i="4"/>
  <c r="AE84" i="4"/>
  <c r="AE83" i="4"/>
  <c r="AE82" i="4"/>
  <c r="AE81" i="4"/>
  <c r="AE80" i="4"/>
  <c r="AE79" i="4"/>
  <c r="AE78" i="4"/>
  <c r="AE77" i="4"/>
  <c r="AE76" i="4"/>
  <c r="AE75" i="4"/>
  <c r="AE74" i="4"/>
  <c r="AE73" i="4"/>
  <c r="AE72" i="4"/>
  <c r="AE71" i="4"/>
  <c r="AE70" i="4"/>
  <c r="AE68" i="4"/>
  <c r="AE67" i="4"/>
  <c r="AE66" i="4"/>
  <c r="AE65" i="4"/>
  <c r="AE64" i="4"/>
  <c r="AE63" i="4"/>
  <c r="AE62" i="4"/>
  <c r="AE61" i="4"/>
  <c r="AE60" i="4"/>
  <c r="AE59" i="4"/>
  <c r="AE58" i="4"/>
  <c r="AE57" i="4"/>
  <c r="AE56" i="4"/>
  <c r="AE55" i="4"/>
  <c r="AE53" i="4"/>
  <c r="AE52" i="4"/>
  <c r="AE51" i="4"/>
  <c r="AE50" i="4"/>
  <c r="AE49" i="4"/>
  <c r="AE48" i="4"/>
  <c r="AE47" i="4"/>
  <c r="AE46" i="4"/>
  <c r="AE45" i="4"/>
  <c r="AE44" i="4"/>
  <c r="AE43" i="4"/>
  <c r="AE42" i="4"/>
  <c r="AE41" i="4"/>
  <c r="AE40" i="4"/>
  <c r="AE39" i="4"/>
  <c r="AE38" i="4"/>
  <c r="AE37" i="4"/>
  <c r="AE36" i="4"/>
  <c r="AE35" i="4"/>
  <c r="AE34" i="4"/>
  <c r="AE33" i="4"/>
  <c r="AE32" i="4"/>
  <c r="AE31" i="4"/>
  <c r="AE30" i="4"/>
  <c r="AE29" i="4"/>
  <c r="AE28" i="4"/>
  <c r="AE27" i="4"/>
  <c r="AE26" i="4"/>
  <c r="AE25" i="4"/>
  <c r="AE24" i="4"/>
  <c r="AE23" i="4"/>
  <c r="AE22" i="4"/>
  <c r="AE21" i="4"/>
  <c r="AE20" i="4"/>
  <c r="AE19" i="4"/>
  <c r="AE18" i="4"/>
  <c r="AE17" i="4"/>
  <c r="AE16" i="4"/>
  <c r="AE15" i="4"/>
  <c r="AE14" i="4"/>
  <c r="AE13" i="4"/>
  <c r="AE12" i="4"/>
  <c r="AE11" i="4"/>
  <c r="AE10" i="4"/>
  <c r="M92" i="4" l="1"/>
  <c r="P97" i="4"/>
  <c r="P85" i="4"/>
  <c r="M89" i="4"/>
  <c r="P52" i="4"/>
  <c r="F129" i="4"/>
  <c r="P108" i="4"/>
  <c r="M108" i="4"/>
  <c r="M114" i="4"/>
  <c r="P114" i="4"/>
  <c r="J119" i="4"/>
  <c r="P120" i="4"/>
  <c r="M120" i="4"/>
  <c r="J113" i="4"/>
  <c r="F133" i="4"/>
  <c r="F130" i="4" s="1"/>
  <c r="O69" i="5"/>
  <c r="O67" i="5"/>
  <c r="O73" i="5"/>
  <c r="AD88" i="4"/>
  <c r="H88" i="4"/>
  <c r="J88" i="4"/>
  <c r="M88" i="4" s="1"/>
  <c r="AE88" i="4"/>
  <c r="O52" i="5"/>
  <c r="J107" i="4"/>
  <c r="P88" i="4" l="1"/>
  <c r="P113" i="4"/>
  <c r="M113" i="4"/>
  <c r="P107" i="4"/>
  <c r="M107" i="4"/>
  <c r="P119" i="4"/>
  <c r="M119" i="4"/>
  <c r="O96" i="4"/>
  <c r="N96" i="4"/>
  <c r="N95" i="4" s="1"/>
  <c r="H72" i="5"/>
  <c r="H71" i="5" s="1"/>
  <c r="G96" i="4"/>
  <c r="G95" i="4" s="1"/>
  <c r="F96" i="4"/>
  <c r="F95" i="4" s="1"/>
  <c r="O84" i="4"/>
  <c r="J66" i="5"/>
  <c r="I84" i="4"/>
  <c r="I83" i="4" s="1"/>
  <c r="M72" i="5"/>
  <c r="M71" i="5" s="1"/>
  <c r="H66" i="5"/>
  <c r="O95" i="4" l="1"/>
  <c r="O83" i="4"/>
  <c r="C7" i="1"/>
  <c r="F72" i="5"/>
  <c r="F71" i="5" s="1"/>
  <c r="E84" i="4"/>
  <c r="E83" i="4" s="1"/>
  <c r="L96" i="4"/>
  <c r="AD96" i="4"/>
  <c r="AD95" i="4" s="1"/>
  <c r="E66" i="5"/>
  <c r="F84" i="4"/>
  <c r="F83" i="4" s="1"/>
  <c r="L84" i="4"/>
  <c r="AD84" i="4"/>
  <c r="AD83" i="4" s="1"/>
  <c r="E72" i="5"/>
  <c r="E71" i="5" s="1"/>
  <c r="N84" i="4"/>
  <c r="N83" i="4" s="1"/>
  <c r="I96" i="4"/>
  <c r="I95" i="4" s="1"/>
  <c r="K96" i="4"/>
  <c r="K95" i="4" s="1"/>
  <c r="E96" i="4"/>
  <c r="E95" i="4" s="1"/>
  <c r="H95" i="4" s="1"/>
  <c r="G84" i="4"/>
  <c r="G83" i="4" s="1"/>
  <c r="K84" i="4"/>
  <c r="K83" i="4" s="1"/>
  <c r="K66" i="5"/>
  <c r="K72" i="5"/>
  <c r="K71" i="5" s="1"/>
  <c r="F66" i="5"/>
  <c r="J72" i="5"/>
  <c r="M66" i="5"/>
  <c r="M68" i="5"/>
  <c r="H68" i="5"/>
  <c r="H65" i="5" s="1"/>
  <c r="H64" i="5" s="1"/>
  <c r="H63" i="5" s="1"/>
  <c r="J68" i="5"/>
  <c r="L83" i="4" l="1"/>
  <c r="L95" i="4"/>
  <c r="J65" i="5"/>
  <c r="J71" i="5"/>
  <c r="C6" i="1"/>
  <c r="N82" i="4"/>
  <c r="N81" i="4" s="1"/>
  <c r="AD82" i="4"/>
  <c r="AD81" i="4" s="1"/>
  <c r="F68" i="5"/>
  <c r="F65" i="5" s="1"/>
  <c r="F64" i="5" s="1"/>
  <c r="F63" i="5" s="1"/>
  <c r="K82" i="4"/>
  <c r="K81" i="4" s="1"/>
  <c r="H84" i="4"/>
  <c r="J95" i="4"/>
  <c r="P95" i="4" s="1"/>
  <c r="I82" i="4"/>
  <c r="I81" i="4" s="1"/>
  <c r="H96" i="4"/>
  <c r="J96" i="4" s="1"/>
  <c r="P96" i="4" s="1"/>
  <c r="F82" i="4"/>
  <c r="F81" i="4" s="1"/>
  <c r="G82" i="4"/>
  <c r="G81" i="4" s="1"/>
  <c r="E68" i="5"/>
  <c r="E65" i="5" s="1"/>
  <c r="E64" i="5" s="1"/>
  <c r="E63" i="5" s="1"/>
  <c r="N68" i="5"/>
  <c r="O82" i="4"/>
  <c r="D66" i="5"/>
  <c r="G66" i="5" s="1"/>
  <c r="I66" i="5" s="1"/>
  <c r="N66" i="5"/>
  <c r="K68" i="5"/>
  <c r="D72" i="5"/>
  <c r="N72" i="5"/>
  <c r="N71" i="5" s="1"/>
  <c r="D68" i="5"/>
  <c r="M65" i="5"/>
  <c r="M64" i="5" s="1"/>
  <c r="M63" i="5" s="1"/>
  <c r="O81" i="4" l="1"/>
  <c r="M96" i="4"/>
  <c r="M95" i="4"/>
  <c r="J84" i="4"/>
  <c r="H83" i="4"/>
  <c r="J64" i="5"/>
  <c r="L66" i="5"/>
  <c r="C5" i="1"/>
  <c r="G68" i="5"/>
  <c r="I68" i="5" s="1"/>
  <c r="E82" i="4"/>
  <c r="L82" i="4"/>
  <c r="D71" i="5"/>
  <c r="G71" i="5" s="1"/>
  <c r="I71" i="5" s="1"/>
  <c r="G72" i="5"/>
  <c r="I72" i="5" s="1"/>
  <c r="K65" i="5"/>
  <c r="O66" i="5"/>
  <c r="N65" i="5"/>
  <c r="N64" i="5" s="1"/>
  <c r="N63" i="5" s="1"/>
  <c r="D65" i="5"/>
  <c r="P84" i="4" l="1"/>
  <c r="M84" i="4"/>
  <c r="L81" i="4"/>
  <c r="J83" i="4"/>
  <c r="H82" i="4"/>
  <c r="E81" i="4"/>
  <c r="J63" i="5"/>
  <c r="L68" i="5"/>
  <c r="L72" i="5"/>
  <c r="L71" i="5"/>
  <c r="C4" i="1"/>
  <c r="O68" i="5"/>
  <c r="O72" i="5"/>
  <c r="O71" i="5"/>
  <c r="D64" i="5"/>
  <c r="G65" i="5"/>
  <c r="I65" i="5" s="1"/>
  <c r="K64" i="5"/>
  <c r="K63" i="5" s="1"/>
  <c r="O110" i="4"/>
  <c r="N110" i="4"/>
  <c r="L110" i="4"/>
  <c r="K110" i="4"/>
  <c r="I110" i="4"/>
  <c r="G110" i="4"/>
  <c r="F110" i="4"/>
  <c r="O68" i="4"/>
  <c r="N68" i="4"/>
  <c r="L68" i="4"/>
  <c r="K68" i="4"/>
  <c r="I68" i="4"/>
  <c r="G68" i="4"/>
  <c r="F68" i="4"/>
  <c r="E68" i="4"/>
  <c r="M77" i="5"/>
  <c r="J77" i="5"/>
  <c r="H77" i="5"/>
  <c r="F77" i="5"/>
  <c r="E77" i="5"/>
  <c r="E110" i="4"/>
  <c r="P83" i="4" l="1"/>
  <c r="M83" i="4"/>
  <c r="J82" i="4"/>
  <c r="H81" i="4"/>
  <c r="G64" i="5"/>
  <c r="D63" i="5"/>
  <c r="L65" i="5"/>
  <c r="C3" i="1"/>
  <c r="O65" i="5"/>
  <c r="G82" i="5"/>
  <c r="I82" i="5" s="1"/>
  <c r="K77" i="5"/>
  <c r="N77" i="5"/>
  <c r="AD110" i="4"/>
  <c r="AD68" i="4"/>
  <c r="P82" i="4" l="1"/>
  <c r="M82" i="4"/>
  <c r="H110" i="4"/>
  <c r="H68" i="4"/>
  <c r="J81" i="4"/>
  <c r="I64" i="5"/>
  <c r="G63" i="5"/>
  <c r="L82" i="5"/>
  <c r="C2" i="1"/>
  <c r="O82" i="5"/>
  <c r="D77" i="5"/>
  <c r="G77" i="5" s="1"/>
  <c r="I77" i="5" s="1"/>
  <c r="P81" i="4" l="1"/>
  <c r="M81" i="4"/>
  <c r="J110" i="4"/>
  <c r="J68" i="4"/>
  <c r="I63" i="5"/>
  <c r="O64" i="5"/>
  <c r="L64" i="5"/>
  <c r="L63" i="5" s="1"/>
  <c r="O77" i="5"/>
  <c r="L77" i="5"/>
  <c r="D18" i="5"/>
  <c r="E18" i="5"/>
  <c r="F20" i="5"/>
  <c r="D21" i="5"/>
  <c r="N85" i="5"/>
  <c r="N56" i="5"/>
  <c r="N39" i="5"/>
  <c r="N38" i="5"/>
  <c r="N33" i="5"/>
  <c r="N31" i="5"/>
  <c r="N29" i="5"/>
  <c r="N28" i="5"/>
  <c r="N25" i="5"/>
  <c r="N22" i="5"/>
  <c r="N20" i="5"/>
  <c r="N19" i="5"/>
  <c r="N16" i="5"/>
  <c r="M85" i="5"/>
  <c r="M61" i="5"/>
  <c r="M60" i="5"/>
  <c r="M56" i="5"/>
  <c r="M55" i="5" s="1"/>
  <c r="M54" i="5" s="1"/>
  <c r="M53" i="5" s="1"/>
  <c r="M39" i="5"/>
  <c r="M37" i="5"/>
  <c r="M34" i="5"/>
  <c r="M33" i="5"/>
  <c r="M32" i="5"/>
  <c r="M31" i="5"/>
  <c r="M28" i="5"/>
  <c r="M26" i="5"/>
  <c r="M25" i="5"/>
  <c r="M24" i="5"/>
  <c r="M22" i="5"/>
  <c r="M20" i="5"/>
  <c r="M18" i="5"/>
  <c r="M17" i="5"/>
  <c r="M16" i="5"/>
  <c r="K61" i="5"/>
  <c r="K59" i="5"/>
  <c r="K38" i="5"/>
  <c r="K37" i="5"/>
  <c r="K34" i="5"/>
  <c r="K33" i="5"/>
  <c r="K31" i="5"/>
  <c r="K28" i="5"/>
  <c r="K26" i="5"/>
  <c r="K25" i="5"/>
  <c r="K22" i="5"/>
  <c r="K19" i="5"/>
  <c r="K18" i="5"/>
  <c r="K17" i="5"/>
  <c r="K16" i="5"/>
  <c r="J86" i="5"/>
  <c r="J85" i="5"/>
  <c r="J81" i="5"/>
  <c r="J61" i="5"/>
  <c r="J60" i="5"/>
  <c r="J56" i="5"/>
  <c r="J55" i="5" s="1"/>
  <c r="J54" i="5" s="1"/>
  <c r="J53" i="5" s="1"/>
  <c r="J39" i="5"/>
  <c r="J34" i="5"/>
  <c r="J33" i="5"/>
  <c r="J32" i="5"/>
  <c r="J31" i="5"/>
  <c r="J25" i="5"/>
  <c r="J24" i="5"/>
  <c r="J22" i="5"/>
  <c r="J20" i="5"/>
  <c r="J17" i="5"/>
  <c r="J16" i="5"/>
  <c r="F86" i="5"/>
  <c r="F85" i="5"/>
  <c r="F81" i="5"/>
  <c r="F60" i="5"/>
  <c r="F59" i="5"/>
  <c r="F56" i="5"/>
  <c r="F55" i="5" s="1"/>
  <c r="F54" i="5" s="1"/>
  <c r="F53" i="5" s="1"/>
  <c r="F40" i="5"/>
  <c r="F33" i="5"/>
  <c r="F32" i="5"/>
  <c r="F31" i="5"/>
  <c r="F28" i="5"/>
  <c r="F25" i="5"/>
  <c r="F22" i="5"/>
  <c r="F18" i="5"/>
  <c r="E81" i="5"/>
  <c r="E60" i="5"/>
  <c r="E37" i="5"/>
  <c r="E33" i="5"/>
  <c r="E32" i="5"/>
  <c r="E31" i="5"/>
  <c r="E28" i="5"/>
  <c r="E25" i="5"/>
  <c r="E24" i="5"/>
  <c r="E22" i="5"/>
  <c r="E16" i="5"/>
  <c r="D81" i="5"/>
  <c r="D60" i="5"/>
  <c r="D56" i="5"/>
  <c r="D39" i="5"/>
  <c r="D34" i="5"/>
  <c r="D33" i="5"/>
  <c r="D32" i="5"/>
  <c r="D29" i="5"/>
  <c r="D28" i="5"/>
  <c r="D25" i="5"/>
  <c r="D20" i="5"/>
  <c r="D19" i="5"/>
  <c r="N86" i="5"/>
  <c r="N81" i="5"/>
  <c r="N61" i="5"/>
  <c r="N60" i="5"/>
  <c r="N59" i="5"/>
  <c r="N40" i="5"/>
  <c r="N37" i="5"/>
  <c r="N34" i="5"/>
  <c r="N32" i="5"/>
  <c r="N26" i="5"/>
  <c r="N24" i="5"/>
  <c r="N21" i="5"/>
  <c r="N18" i="5"/>
  <c r="N17" i="5"/>
  <c r="M86" i="5"/>
  <c r="M81" i="5"/>
  <c r="M59" i="5"/>
  <c r="M40" i="5"/>
  <c r="M38" i="5"/>
  <c r="M29" i="5"/>
  <c r="M21" i="5"/>
  <c r="M19" i="5"/>
  <c r="K86" i="5"/>
  <c r="K85" i="5"/>
  <c r="K81" i="5"/>
  <c r="K60" i="5"/>
  <c r="K56" i="5"/>
  <c r="K40" i="5"/>
  <c r="K39" i="5"/>
  <c r="K32" i="5"/>
  <c r="K29" i="5"/>
  <c r="K24" i="5"/>
  <c r="K21" i="5"/>
  <c r="K20" i="5"/>
  <c r="J59" i="5"/>
  <c r="J40" i="5"/>
  <c r="J38" i="5"/>
  <c r="J37" i="5"/>
  <c r="J29" i="5"/>
  <c r="J28" i="5"/>
  <c r="J26" i="5"/>
  <c r="J21" i="5"/>
  <c r="J19" i="5"/>
  <c r="J18" i="5"/>
  <c r="H86" i="5"/>
  <c r="H85" i="5"/>
  <c r="H81" i="5"/>
  <c r="H61" i="5"/>
  <c r="H60" i="5"/>
  <c r="H59" i="5"/>
  <c r="H56" i="5"/>
  <c r="H55" i="5" s="1"/>
  <c r="H54" i="5" s="1"/>
  <c r="H53" i="5" s="1"/>
  <c r="H40" i="5"/>
  <c r="H39" i="5"/>
  <c r="H38" i="5"/>
  <c r="H37" i="5"/>
  <c r="H34" i="5"/>
  <c r="H33" i="5"/>
  <c r="H32" i="5"/>
  <c r="H31" i="5"/>
  <c r="H29" i="5"/>
  <c r="H28" i="5"/>
  <c r="H26" i="5"/>
  <c r="H25" i="5"/>
  <c r="H24" i="5"/>
  <c r="H22" i="5"/>
  <c r="H21" i="5"/>
  <c r="H20" i="5"/>
  <c r="H19" i="5"/>
  <c r="H18" i="5"/>
  <c r="H17" i="5"/>
  <c r="H16" i="5"/>
  <c r="F61" i="5"/>
  <c r="F39" i="5"/>
  <c r="F38" i="5"/>
  <c r="F37" i="5"/>
  <c r="F34" i="5"/>
  <c r="F29" i="5"/>
  <c r="F26" i="5"/>
  <c r="F24" i="5"/>
  <c r="F21" i="5"/>
  <c r="F19" i="5"/>
  <c r="F17" i="5"/>
  <c r="F16" i="5"/>
  <c r="E86" i="5"/>
  <c r="E85" i="5"/>
  <c r="E61" i="5"/>
  <c r="E59" i="5"/>
  <c r="E56" i="5"/>
  <c r="E55" i="5" s="1"/>
  <c r="E54" i="5" s="1"/>
  <c r="E53" i="5" s="1"/>
  <c r="E40" i="5"/>
  <c r="E39" i="5"/>
  <c r="E38" i="5"/>
  <c r="E34" i="5"/>
  <c r="E29" i="5"/>
  <c r="E26" i="5"/>
  <c r="E21" i="5"/>
  <c r="E20" i="5"/>
  <c r="E19" i="5"/>
  <c r="E17" i="5"/>
  <c r="D86" i="5"/>
  <c r="D85" i="5"/>
  <c r="D61" i="5"/>
  <c r="D59" i="5"/>
  <c r="D40" i="5"/>
  <c r="D38" i="5"/>
  <c r="D37" i="5"/>
  <c r="D31" i="5"/>
  <c r="D26" i="5"/>
  <c r="D24" i="5"/>
  <c r="D22" i="5"/>
  <c r="D17" i="5"/>
  <c r="D16" i="5"/>
  <c r="P68" i="4" l="1"/>
  <c r="M68" i="4"/>
  <c r="M110" i="4"/>
  <c r="P110" i="4"/>
  <c r="G26" i="5"/>
  <c r="I26" i="5" s="1"/>
  <c r="G40" i="5"/>
  <c r="I40" i="5" s="1"/>
  <c r="G59" i="5"/>
  <c r="I59" i="5" s="1"/>
  <c r="G22" i="5"/>
  <c r="I22" i="5" s="1"/>
  <c r="G25" i="5"/>
  <c r="I25" i="5" s="1"/>
  <c r="G61" i="5"/>
  <c r="I61" i="5" s="1"/>
  <c r="G24" i="5"/>
  <c r="I24" i="5" s="1"/>
  <c r="G33" i="5"/>
  <c r="I33" i="5" s="1"/>
  <c r="G86" i="5"/>
  <c r="I86" i="5" s="1"/>
  <c r="G19" i="5"/>
  <c r="I19" i="5" s="1"/>
  <c r="G39" i="5"/>
  <c r="I39" i="5" s="1"/>
  <c r="G56" i="5"/>
  <c r="I56" i="5" s="1"/>
  <c r="G20" i="5"/>
  <c r="I20" i="5" s="1"/>
  <c r="G18" i="5"/>
  <c r="I18" i="5" s="1"/>
  <c r="G16" i="5"/>
  <c r="I16" i="5" s="1"/>
  <c r="G28" i="5"/>
  <c r="I28" i="5" s="1"/>
  <c r="G60" i="5"/>
  <c r="I60" i="5" s="1"/>
  <c r="G37" i="5"/>
  <c r="I37" i="5" s="1"/>
  <c r="G83" i="5"/>
  <c r="I83" i="5" s="1"/>
  <c r="G21" i="5"/>
  <c r="I21" i="5" s="1"/>
  <c r="G31" i="5"/>
  <c r="I31" i="5" s="1"/>
  <c r="G34" i="5"/>
  <c r="I34" i="5" s="1"/>
  <c r="G38" i="5"/>
  <c r="I38" i="5" s="1"/>
  <c r="G17" i="5"/>
  <c r="I17" i="5" s="1"/>
  <c r="G29" i="5"/>
  <c r="I29" i="5" s="1"/>
  <c r="G85" i="5"/>
  <c r="I85" i="5" s="1"/>
  <c r="G32" i="5"/>
  <c r="I32" i="5" s="1"/>
  <c r="G81" i="5"/>
  <c r="I81" i="5" s="1"/>
  <c r="K55" i="5"/>
  <c r="N55" i="5"/>
  <c r="D55" i="5"/>
  <c r="G55" i="5" s="1"/>
  <c r="I55" i="5" s="1"/>
  <c r="K36" i="5"/>
  <c r="F36" i="5"/>
  <c r="F35" i="5" s="1"/>
  <c r="D36" i="5"/>
  <c r="N36" i="5"/>
  <c r="J36" i="5"/>
  <c r="J35" i="5" s="1"/>
  <c r="H36" i="5"/>
  <c r="H35" i="5" s="1"/>
  <c r="M36" i="5"/>
  <c r="M35" i="5" s="1"/>
  <c r="E36" i="5"/>
  <c r="E35" i="5" s="1"/>
  <c r="F23" i="5"/>
  <c r="F15" i="5" s="1"/>
  <c r="F14" i="5" s="1"/>
  <c r="J23" i="5"/>
  <c r="J15" i="5" s="1"/>
  <c r="J14" i="5" s="1"/>
  <c r="H23" i="5"/>
  <c r="H15" i="5" s="1"/>
  <c r="H14" i="5" s="1"/>
  <c r="K23" i="5"/>
  <c r="M23" i="5"/>
  <c r="M15" i="5" s="1"/>
  <c r="M14" i="5" s="1"/>
  <c r="D23" i="5"/>
  <c r="D58" i="5"/>
  <c r="E23" i="5"/>
  <c r="E15" i="5" s="1"/>
  <c r="E14" i="5" s="1"/>
  <c r="F58" i="5"/>
  <c r="F57" i="5" s="1"/>
  <c r="E58" i="5"/>
  <c r="E57" i="5" s="1"/>
  <c r="J58" i="5"/>
  <c r="J57" i="5" s="1"/>
  <c r="H58" i="5"/>
  <c r="H57" i="5" s="1"/>
  <c r="K58" i="5"/>
  <c r="M58" i="5"/>
  <c r="M57" i="5" s="1"/>
  <c r="N58" i="5"/>
  <c r="N23" i="5"/>
  <c r="AB73" i="4"/>
  <c r="AB72" i="4" s="1"/>
  <c r="AB71" i="4" s="1"/>
  <c r="L32" i="5" l="1"/>
  <c r="O37" i="5"/>
  <c r="O39" i="5"/>
  <c r="O61" i="5"/>
  <c r="O25" i="5"/>
  <c r="L81" i="5"/>
  <c r="L34" i="5"/>
  <c r="L18" i="5"/>
  <c r="L59" i="5"/>
  <c r="O85" i="5"/>
  <c r="L31" i="5"/>
  <c r="O20" i="5"/>
  <c r="L40" i="5"/>
  <c r="O86" i="5"/>
  <c r="L16" i="5"/>
  <c r="L29" i="5"/>
  <c r="O21" i="5"/>
  <c r="L26" i="5"/>
  <c r="L28" i="5"/>
  <c r="O38" i="5"/>
  <c r="O17" i="5"/>
  <c r="L83" i="5"/>
  <c r="O56" i="5"/>
  <c r="O24" i="5"/>
  <c r="O26" i="5"/>
  <c r="O22" i="5"/>
  <c r="L22" i="5"/>
  <c r="L24" i="5"/>
  <c r="O40" i="5"/>
  <c r="L61" i="5"/>
  <c r="O59" i="5"/>
  <c r="L33" i="5"/>
  <c r="O33" i="5"/>
  <c r="L17" i="5"/>
  <c r="L86" i="5"/>
  <c r="O16" i="5"/>
  <c r="L19" i="5"/>
  <c r="O19" i="5"/>
  <c r="O60" i="5"/>
  <c r="L60" i="5"/>
  <c r="O29" i="5"/>
  <c r="L56" i="5"/>
  <c r="O31" i="5"/>
  <c r="O18" i="5"/>
  <c r="O81" i="5"/>
  <c r="O28" i="5"/>
  <c r="L38" i="5"/>
  <c r="O34" i="5"/>
  <c r="L37" i="5"/>
  <c r="G58" i="5"/>
  <c r="I58" i="5" s="1"/>
  <c r="L85" i="5"/>
  <c r="G23" i="5"/>
  <c r="I23" i="5" s="1"/>
  <c r="L20" i="5"/>
  <c r="O83" i="5"/>
  <c r="O32" i="5"/>
  <c r="O55" i="5"/>
  <c r="L39" i="5"/>
  <c r="L55" i="5"/>
  <c r="G36" i="5"/>
  <c r="I36" i="5" s="1"/>
  <c r="L25" i="5"/>
  <c r="L21" i="5"/>
  <c r="K57" i="5"/>
  <c r="K54" i="5"/>
  <c r="K35" i="5"/>
  <c r="K15" i="5"/>
  <c r="N54" i="5"/>
  <c r="N35" i="5"/>
  <c r="D57" i="5"/>
  <c r="G57" i="5" s="1"/>
  <c r="I57" i="5" s="1"/>
  <c r="D54" i="5"/>
  <c r="G54" i="5" s="1"/>
  <c r="I54" i="5" s="1"/>
  <c r="D35" i="5"/>
  <c r="G35" i="5" s="1"/>
  <c r="I35" i="5" s="1"/>
  <c r="D15" i="5"/>
  <c r="G15" i="5" s="1"/>
  <c r="I15" i="5" s="1"/>
  <c r="N15" i="5"/>
  <c r="N57" i="5"/>
  <c r="O23" i="5" l="1"/>
  <c r="O58" i="5"/>
  <c r="O36" i="5"/>
  <c r="L58" i="5"/>
  <c r="O57" i="5"/>
  <c r="L36" i="5"/>
  <c r="O15" i="5"/>
  <c r="L15" i="5"/>
  <c r="L35" i="5"/>
  <c r="L23" i="5"/>
  <c r="L54" i="5"/>
  <c r="L57" i="5"/>
  <c r="O54" i="5"/>
  <c r="O35" i="5"/>
  <c r="K14" i="5"/>
  <c r="K53" i="5"/>
  <c r="N14" i="5"/>
  <c r="N53" i="5"/>
  <c r="D53" i="5"/>
  <c r="G53" i="5" s="1"/>
  <c r="I53" i="5" s="1"/>
  <c r="D14" i="5"/>
  <c r="G14" i="5" s="1"/>
  <c r="I14" i="5" s="1"/>
  <c r="L53" i="5" l="1"/>
  <c r="O53" i="5"/>
  <c r="L14" i="5"/>
  <c r="O14" i="5"/>
  <c r="V121" i="4" l="1"/>
  <c r="AD52" i="4"/>
  <c r="N46" i="5" l="1"/>
  <c r="M46" i="5"/>
  <c r="K46" i="5"/>
  <c r="J46" i="5"/>
  <c r="H46" i="5"/>
  <c r="D46" i="5"/>
  <c r="N84" i="5"/>
  <c r="K84" i="5"/>
  <c r="H51" i="5"/>
  <c r="H49" i="5"/>
  <c r="J44" i="5"/>
  <c r="H44" i="5"/>
  <c r="H30" i="5"/>
  <c r="H27" i="5" s="1"/>
  <c r="H13" i="5" s="1"/>
  <c r="H12" i="5" s="1"/>
  <c r="E30" i="5"/>
  <c r="E27" i="5" s="1"/>
  <c r="E13" i="5" s="1"/>
  <c r="E12" i="5" s="1"/>
  <c r="J51" i="5"/>
  <c r="J50" i="5"/>
  <c r="H50" i="5"/>
  <c r="J49" i="5"/>
  <c r="J45" i="5"/>
  <c r="H45" i="5"/>
  <c r="K51" i="5"/>
  <c r="K50" i="5"/>
  <c r="N49" i="5"/>
  <c r="K49" i="5"/>
  <c r="N45" i="5"/>
  <c r="K45" i="5"/>
  <c r="N44" i="5"/>
  <c r="M44" i="5"/>
  <c r="K44" i="5"/>
  <c r="K30" i="5"/>
  <c r="F50" i="5" l="1"/>
  <c r="F46" i="5"/>
  <c r="G46" i="5" s="1"/>
  <c r="I46" i="5" s="1"/>
  <c r="J48" i="5"/>
  <c r="J47" i="5" s="1"/>
  <c r="H48" i="5"/>
  <c r="H47" i="5" s="1"/>
  <c r="K48" i="5"/>
  <c r="N80" i="5"/>
  <c r="F30" i="5"/>
  <c r="F27" i="5" s="1"/>
  <c r="F13" i="5" s="1"/>
  <c r="F12" i="5" s="1"/>
  <c r="K27" i="5"/>
  <c r="D84" i="5"/>
  <c r="K43" i="5"/>
  <c r="E84" i="5"/>
  <c r="E46" i="5"/>
  <c r="F84" i="5"/>
  <c r="H43" i="5"/>
  <c r="J84" i="5"/>
  <c r="J43" i="5"/>
  <c r="K80" i="5"/>
  <c r="K76" i="5" s="1"/>
  <c r="K75" i="5" s="1"/>
  <c r="N43" i="5"/>
  <c r="H84" i="5"/>
  <c r="M84" i="5"/>
  <c r="D51" i="5"/>
  <c r="E44" i="5"/>
  <c r="E51" i="5"/>
  <c r="N50" i="5"/>
  <c r="M49" i="5"/>
  <c r="M50" i="5"/>
  <c r="M51" i="5"/>
  <c r="E45" i="5"/>
  <c r="E49" i="5"/>
  <c r="E50" i="5"/>
  <c r="D45" i="5"/>
  <c r="D49" i="5"/>
  <c r="D44" i="5"/>
  <c r="M7" i="1"/>
  <c r="N30" i="5"/>
  <c r="J7" i="1"/>
  <c r="I7" i="1"/>
  <c r="I6" i="1" s="1"/>
  <c r="G7" i="1"/>
  <c r="G6" i="1" s="1"/>
  <c r="D7" i="1"/>
  <c r="D6" i="1" s="1"/>
  <c r="L7" i="1"/>
  <c r="X73" i="4"/>
  <c r="X72" i="4" s="1"/>
  <c r="X71" i="4" s="1"/>
  <c r="L6" i="1" l="1"/>
  <c r="G84" i="5"/>
  <c r="I84" i="5" s="1"/>
  <c r="O46" i="5"/>
  <c r="L46" i="5"/>
  <c r="K47" i="5"/>
  <c r="F44" i="5"/>
  <c r="G44" i="5" s="1"/>
  <c r="I44" i="5" s="1"/>
  <c r="M48" i="5"/>
  <c r="M47" i="5" s="1"/>
  <c r="N48" i="5"/>
  <c r="E48" i="5"/>
  <c r="E47" i="5" s="1"/>
  <c r="H80" i="5"/>
  <c r="E80" i="5"/>
  <c r="F80" i="5"/>
  <c r="M80" i="5"/>
  <c r="J80" i="5"/>
  <c r="J42" i="5"/>
  <c r="H42" i="5"/>
  <c r="H41" i="5" s="1"/>
  <c r="H11" i="5" s="1"/>
  <c r="D50" i="5"/>
  <c r="G50" i="5" s="1"/>
  <c r="I50" i="5" s="1"/>
  <c r="D80" i="5"/>
  <c r="N27" i="5"/>
  <c r="D30" i="5"/>
  <c r="G30" i="5" s="1"/>
  <c r="I30" i="5" s="1"/>
  <c r="F51" i="5"/>
  <c r="G51" i="5" s="1"/>
  <c r="I51" i="5" s="1"/>
  <c r="F49" i="5"/>
  <c r="G49" i="5" s="1"/>
  <c r="I49" i="5" s="1"/>
  <c r="K13" i="5"/>
  <c r="N76" i="5"/>
  <c r="N75" i="5" s="1"/>
  <c r="I5" i="1"/>
  <c r="I4" i="1" s="1"/>
  <c r="J30" i="5"/>
  <c r="J27" i="5" s="1"/>
  <c r="J13" i="5" s="1"/>
  <c r="J12" i="5" s="1"/>
  <c r="F48" i="5"/>
  <c r="D43" i="5"/>
  <c r="D48" i="5"/>
  <c r="E43" i="5"/>
  <c r="N51" i="5"/>
  <c r="M30" i="5"/>
  <c r="M27" i="5" s="1"/>
  <c r="M13" i="5" s="1"/>
  <c r="M12" i="5" s="1"/>
  <c r="F45" i="5"/>
  <c r="G45" i="5" s="1"/>
  <c r="I45" i="5" s="1"/>
  <c r="M45" i="5"/>
  <c r="M43" i="5" s="1"/>
  <c r="M6" i="1"/>
  <c r="Z121" i="4"/>
  <c r="J6" i="1"/>
  <c r="E7" i="1"/>
  <c r="D5" i="1"/>
  <c r="D4" i="1" s="1"/>
  <c r="G5" i="1"/>
  <c r="G4" i="1" s="1"/>
  <c r="J41" i="5" l="1"/>
  <c r="J11" i="5" s="1"/>
  <c r="L5" i="1"/>
  <c r="L4" i="1" s="1"/>
  <c r="L51" i="5"/>
  <c r="L30" i="5"/>
  <c r="L50" i="5"/>
  <c r="G80" i="5"/>
  <c r="I80" i="5" s="1"/>
  <c r="O84" i="5"/>
  <c r="L84" i="5"/>
  <c r="O44" i="5"/>
  <c r="L44" i="5"/>
  <c r="L45" i="5"/>
  <c r="O45" i="5"/>
  <c r="O51" i="5"/>
  <c r="O50" i="5"/>
  <c r="K42" i="5"/>
  <c r="L49" i="5"/>
  <c r="O49" i="5"/>
  <c r="G48" i="5"/>
  <c r="I48" i="5" s="1"/>
  <c r="O30" i="5"/>
  <c r="J62" i="5"/>
  <c r="F43" i="5"/>
  <c r="G43" i="5" s="1"/>
  <c r="I43" i="5" s="1"/>
  <c r="E76" i="5"/>
  <c r="E75" i="5" s="1"/>
  <c r="J76" i="5"/>
  <c r="J75" i="5" s="1"/>
  <c r="F76" i="5"/>
  <c r="F75" i="5" s="1"/>
  <c r="M76" i="5"/>
  <c r="M75" i="5" s="1"/>
  <c r="H76" i="5"/>
  <c r="H75" i="5" s="1"/>
  <c r="M42" i="5"/>
  <c r="M41" i="5" s="1"/>
  <c r="M11" i="5" s="1"/>
  <c r="F47" i="5"/>
  <c r="D27" i="5"/>
  <c r="G27" i="5" s="1"/>
  <c r="I27" i="5" s="1"/>
  <c r="K12" i="5"/>
  <c r="N13" i="5"/>
  <c r="N47" i="5"/>
  <c r="D47" i="5"/>
  <c r="E42" i="5"/>
  <c r="E41" i="5" s="1"/>
  <c r="E11" i="5" s="1"/>
  <c r="D76" i="5"/>
  <c r="D75" i="5" s="1"/>
  <c r="D3" i="1"/>
  <c r="M5" i="1"/>
  <c r="J5" i="1"/>
  <c r="E6" i="1"/>
  <c r="I3" i="1"/>
  <c r="I2" i="1" s="1"/>
  <c r="G3" i="1"/>
  <c r="L3" i="1" l="1"/>
  <c r="L48" i="5"/>
  <c r="L27" i="5"/>
  <c r="G76" i="5"/>
  <c r="I76" i="5" s="1"/>
  <c r="O80" i="5"/>
  <c r="L80" i="5"/>
  <c r="O43" i="5"/>
  <c r="L43" i="5"/>
  <c r="K41" i="5"/>
  <c r="K11" i="5" s="1"/>
  <c r="O48" i="5"/>
  <c r="G47" i="5"/>
  <c r="I47" i="5" s="1"/>
  <c r="O27" i="5"/>
  <c r="G2" i="1"/>
  <c r="D2" i="1"/>
  <c r="M62" i="5"/>
  <c r="M10" i="5" s="1"/>
  <c r="J10" i="5"/>
  <c r="H62" i="5"/>
  <c r="H10" i="5" s="1"/>
  <c r="H87" i="5" s="1"/>
  <c r="F62" i="5"/>
  <c r="E62" i="5"/>
  <c r="E10" i="5" s="1"/>
  <c r="E87" i="5" s="1"/>
  <c r="F42" i="5"/>
  <c r="F41" i="5" s="1"/>
  <c r="F11" i="5" s="1"/>
  <c r="M4" i="1"/>
  <c r="G75" i="5"/>
  <c r="I75" i="5" s="1"/>
  <c r="D42" i="5"/>
  <c r="N42" i="5"/>
  <c r="N12" i="5"/>
  <c r="D13" i="5"/>
  <c r="G13" i="5" s="1"/>
  <c r="I13" i="5" s="1"/>
  <c r="J4" i="1"/>
  <c r="E5" i="1"/>
  <c r="J87" i="5" l="1"/>
  <c r="L2" i="1"/>
  <c r="L13" i="5"/>
  <c r="L47" i="5"/>
  <c r="L76" i="5"/>
  <c r="O76" i="5"/>
  <c r="O47" i="5"/>
  <c r="G42" i="5"/>
  <c r="I42" i="5" s="1"/>
  <c r="N62" i="5"/>
  <c r="K62" i="5"/>
  <c r="O13" i="5"/>
  <c r="L75" i="5"/>
  <c r="O75" i="5"/>
  <c r="F10" i="5"/>
  <c r="F87" i="5" s="1"/>
  <c r="M87" i="5"/>
  <c r="D12" i="5"/>
  <c r="G12" i="5" s="1"/>
  <c r="I12" i="5" s="1"/>
  <c r="N41" i="5"/>
  <c r="D41" i="5"/>
  <c r="G41" i="5" s="1"/>
  <c r="I41" i="5" s="1"/>
  <c r="M3" i="1"/>
  <c r="J3" i="1"/>
  <c r="K3" i="1" s="1"/>
  <c r="E4" i="1"/>
  <c r="L41" i="5" l="1"/>
  <c r="L42" i="5"/>
  <c r="L12" i="5"/>
  <c r="O12" i="5"/>
  <c r="O42" i="5"/>
  <c r="O41" i="5"/>
  <c r="K10" i="5"/>
  <c r="K87" i="5" s="1"/>
  <c r="N11" i="5"/>
  <c r="D11" i="5"/>
  <c r="G11" i="5" s="1"/>
  <c r="I11" i="5" s="1"/>
  <c r="M2" i="1"/>
  <c r="J2" i="1"/>
  <c r="E3" i="1"/>
  <c r="L11" i="5" l="1"/>
  <c r="O11" i="5"/>
  <c r="O63" i="5"/>
  <c r="N10" i="5"/>
  <c r="D62" i="5"/>
  <c r="G62" i="5" s="1"/>
  <c r="I62" i="5" s="1"/>
  <c r="E2" i="1"/>
  <c r="O62" i="5" l="1"/>
  <c r="L62" i="5"/>
  <c r="N87" i="5"/>
  <c r="D10" i="5"/>
  <c r="F2" i="1"/>
  <c r="H2" i="1" s="1"/>
  <c r="O121" i="4"/>
  <c r="AC121" i="4" s="1"/>
  <c r="O102" i="4"/>
  <c r="N121" i="4"/>
  <c r="N102" i="4"/>
  <c r="L121" i="4"/>
  <c r="L102" i="4"/>
  <c r="K121" i="4"/>
  <c r="K102" i="4"/>
  <c r="K73" i="4"/>
  <c r="K72" i="4" s="1"/>
  <c r="K71" i="4" s="1"/>
  <c r="I121" i="4"/>
  <c r="I102" i="4"/>
  <c r="I73" i="4"/>
  <c r="I72" i="4" s="1"/>
  <c r="I71" i="4" s="1"/>
  <c r="G121" i="4"/>
  <c r="G102" i="4"/>
  <c r="G73" i="4"/>
  <c r="G72" i="4" s="1"/>
  <c r="G71" i="4" s="1"/>
  <c r="F121" i="4"/>
  <c r="F102" i="4"/>
  <c r="F73" i="4"/>
  <c r="F72" i="4" s="1"/>
  <c r="F71" i="4" s="1"/>
  <c r="E121" i="4"/>
  <c r="E102" i="4"/>
  <c r="E73" i="4"/>
  <c r="K2" i="1" l="1"/>
  <c r="N2" i="1"/>
  <c r="E72" i="4"/>
  <c r="H72" i="4" s="1"/>
  <c r="J72" i="4" s="1"/>
  <c r="D87" i="5"/>
  <c r="G87" i="5" s="1"/>
  <c r="I87" i="5" s="1"/>
  <c r="G10" i="5"/>
  <c r="N73" i="4"/>
  <c r="N125" i="4"/>
  <c r="N127" i="4" s="1"/>
  <c r="G116" i="4"/>
  <c r="G106" i="4" s="1"/>
  <c r="T121" i="4"/>
  <c r="Y121" i="4"/>
  <c r="K116" i="4"/>
  <c r="K106" i="4" s="1"/>
  <c r="L73" i="4"/>
  <c r="E116" i="4"/>
  <c r="E106" i="4" s="1"/>
  <c r="F116" i="4"/>
  <c r="F106" i="4" s="1"/>
  <c r="L116" i="4"/>
  <c r="O116" i="4"/>
  <c r="N116" i="4"/>
  <c r="N106" i="4" s="1"/>
  <c r="I116" i="4"/>
  <c r="I106" i="4" s="1"/>
  <c r="K46" i="4"/>
  <c r="K62" i="4"/>
  <c r="K49" i="4"/>
  <c r="K65" i="4"/>
  <c r="E65" i="4"/>
  <c r="E56" i="4"/>
  <c r="G49" i="4"/>
  <c r="G65" i="4"/>
  <c r="F30" i="4"/>
  <c r="F27" i="4" s="1"/>
  <c r="F59" i="4"/>
  <c r="L49" i="4"/>
  <c r="I49" i="4"/>
  <c r="E23" i="4"/>
  <c r="I46" i="4"/>
  <c r="I62" i="4"/>
  <c r="G30" i="4"/>
  <c r="G59" i="4"/>
  <c r="F46" i="4"/>
  <c r="N46" i="4"/>
  <c r="N62" i="4"/>
  <c r="N49" i="4"/>
  <c r="N65" i="4"/>
  <c r="E49" i="4"/>
  <c r="I65" i="4"/>
  <c r="N59" i="4"/>
  <c r="I56" i="4"/>
  <c r="AD16" i="4"/>
  <c r="L65" i="4"/>
  <c r="O46" i="4"/>
  <c r="O62" i="4"/>
  <c r="AD102" i="4"/>
  <c r="O73" i="4"/>
  <c r="I23" i="4"/>
  <c r="I15" i="4" s="1"/>
  <c r="I14" i="4" s="1"/>
  <c r="AD121" i="4"/>
  <c r="U121" i="4"/>
  <c r="K30" i="4"/>
  <c r="K27" i="4" s="1"/>
  <c r="K59" i="4"/>
  <c r="L23" i="4"/>
  <c r="G56" i="4"/>
  <c r="I30" i="4"/>
  <c r="I27" i="4" s="1"/>
  <c r="I38" i="4"/>
  <c r="I37" i="4" s="1"/>
  <c r="I59" i="4"/>
  <c r="I76" i="4"/>
  <c r="I75" i="4" s="1"/>
  <c r="K23" i="4"/>
  <c r="K15" i="4" s="1"/>
  <c r="K14" i="4" s="1"/>
  <c r="E46" i="4"/>
  <c r="E62" i="4"/>
  <c r="F65" i="4"/>
  <c r="O76" i="4"/>
  <c r="H16" i="4"/>
  <c r="G23" i="4"/>
  <c r="G38" i="4"/>
  <c r="G37" i="4" s="1"/>
  <c r="O65" i="4"/>
  <c r="F62" i="4"/>
  <c r="G46" i="4"/>
  <c r="N23" i="4"/>
  <c r="H121" i="4"/>
  <c r="G62" i="4"/>
  <c r="F38" i="4"/>
  <c r="F37" i="4" s="1"/>
  <c r="O56" i="4"/>
  <c r="N76" i="4"/>
  <c r="L46" i="4"/>
  <c r="L62" i="4"/>
  <c r="G76" i="4"/>
  <c r="G75" i="4" s="1"/>
  <c r="K56" i="4"/>
  <c r="H102" i="4"/>
  <c r="J102" i="4" s="1"/>
  <c r="M102" i="4" s="1"/>
  <c r="F23" i="4"/>
  <c r="F15" i="4" s="1"/>
  <c r="F14" i="4" s="1"/>
  <c r="F49" i="4"/>
  <c r="N30" i="4"/>
  <c r="E30" i="4"/>
  <c r="E38" i="4"/>
  <c r="E59" i="4"/>
  <c r="K38" i="4"/>
  <c r="K37" i="4" s="1"/>
  <c r="K76" i="4"/>
  <c r="K75" i="4" s="1"/>
  <c r="L56" i="4"/>
  <c r="F56" i="4"/>
  <c r="O59" i="4"/>
  <c r="L59" i="4"/>
  <c r="L76" i="4"/>
  <c r="F76" i="4"/>
  <c r="F75" i="4" s="1"/>
  <c r="N38" i="4"/>
  <c r="N56" i="4"/>
  <c r="H73" i="4"/>
  <c r="J73" i="4" s="1"/>
  <c r="L30" i="4"/>
  <c r="L38" i="4"/>
  <c r="O30" i="4"/>
  <c r="O49" i="4"/>
  <c r="O23" i="4"/>
  <c r="O38" i="4"/>
  <c r="E76" i="4"/>
  <c r="M73" i="4" l="1"/>
  <c r="P73" i="4"/>
  <c r="O106" i="4"/>
  <c r="P102" i="4"/>
  <c r="L106" i="4"/>
  <c r="N55" i="4"/>
  <c r="L55" i="4"/>
  <c r="G55" i="4"/>
  <c r="I55" i="4"/>
  <c r="F101" i="4"/>
  <c r="F100" i="4" s="1"/>
  <c r="K55" i="4"/>
  <c r="O55" i="4"/>
  <c r="E55" i="4"/>
  <c r="F55" i="4"/>
  <c r="K101" i="4"/>
  <c r="K100" i="4" s="1"/>
  <c r="L87" i="5"/>
  <c r="O87" i="5"/>
  <c r="E37" i="4"/>
  <c r="H37" i="4" s="1"/>
  <c r="J37" i="4" s="1"/>
  <c r="E15" i="4"/>
  <c r="E71" i="4"/>
  <c r="G27" i="4"/>
  <c r="G101" i="4"/>
  <c r="G100" i="4" s="1"/>
  <c r="E27" i="4"/>
  <c r="I10" i="5"/>
  <c r="N75" i="4"/>
  <c r="N37" i="4"/>
  <c r="N15" i="4"/>
  <c r="N27" i="4"/>
  <c r="N72" i="4"/>
  <c r="J121" i="4"/>
  <c r="J16" i="4"/>
  <c r="H116" i="4"/>
  <c r="H106" i="4" s="1"/>
  <c r="L72" i="4"/>
  <c r="M72" i="4" s="1"/>
  <c r="AD73" i="4"/>
  <c r="E45" i="4"/>
  <c r="G45" i="4"/>
  <c r="K45" i="4"/>
  <c r="I101" i="4"/>
  <c r="I100" i="4" s="1"/>
  <c r="L45" i="4"/>
  <c r="O45" i="4"/>
  <c r="N45" i="4"/>
  <c r="F45" i="4"/>
  <c r="I45" i="4"/>
  <c r="AD116" i="4"/>
  <c r="AD106" i="4" s="1"/>
  <c r="H65" i="4"/>
  <c r="H49" i="4"/>
  <c r="H56" i="4"/>
  <c r="H59" i="4"/>
  <c r="H23" i="4"/>
  <c r="J23" i="4" s="1"/>
  <c r="P23" i="4" s="1"/>
  <c r="O72" i="4"/>
  <c r="P72" i="4" s="1"/>
  <c r="L15" i="4"/>
  <c r="AD23" i="4"/>
  <c r="AD15" i="4" s="1"/>
  <c r="AD14" i="4" s="1"/>
  <c r="AD59" i="4"/>
  <c r="AD46" i="4"/>
  <c r="AD49" i="4"/>
  <c r="AD30" i="4"/>
  <c r="AD76" i="4"/>
  <c r="AD38" i="4"/>
  <c r="O75" i="4"/>
  <c r="AD65" i="4"/>
  <c r="AD56" i="4"/>
  <c r="AD62" i="4"/>
  <c r="H46" i="4"/>
  <c r="H62" i="4"/>
  <c r="I13" i="4"/>
  <c r="I12" i="4" s="1"/>
  <c r="L75" i="4"/>
  <c r="H30" i="4"/>
  <c r="G15" i="4"/>
  <c r="G14" i="4" s="1"/>
  <c r="H38" i="4"/>
  <c r="J38" i="4" s="1"/>
  <c r="P38" i="4" s="1"/>
  <c r="F13" i="4"/>
  <c r="F12" i="4" s="1"/>
  <c r="K13" i="4"/>
  <c r="K12" i="4" s="1"/>
  <c r="E75" i="4"/>
  <c r="H76" i="4"/>
  <c r="J76" i="4" s="1"/>
  <c r="M76" i="4" s="1"/>
  <c r="L27" i="4"/>
  <c r="L37" i="4"/>
  <c r="O37" i="4"/>
  <c r="O15" i="4"/>
  <c r="O27" i="4"/>
  <c r="M38" i="4" l="1"/>
  <c r="M16" i="4"/>
  <c r="P16" i="4"/>
  <c r="P76" i="4"/>
  <c r="M23" i="4"/>
  <c r="P121" i="4"/>
  <c r="M121" i="4"/>
  <c r="P37" i="4"/>
  <c r="M37" i="4"/>
  <c r="F127" i="4"/>
  <c r="F126" i="4" s="1"/>
  <c r="H55" i="4"/>
  <c r="AD55" i="4"/>
  <c r="L10" i="5"/>
  <c r="I80" i="4"/>
  <c r="G80" i="4"/>
  <c r="K80" i="4"/>
  <c r="F80" i="4"/>
  <c r="E14" i="4"/>
  <c r="E13" i="4" s="1"/>
  <c r="E101" i="4"/>
  <c r="H75" i="4"/>
  <c r="J75" i="4" s="1"/>
  <c r="P75" i="4" s="1"/>
  <c r="H71" i="4"/>
  <c r="J71" i="4" s="1"/>
  <c r="G13" i="4"/>
  <c r="G12" i="4" s="1"/>
  <c r="H27" i="4"/>
  <c r="J27" i="4" s="1"/>
  <c r="M27" i="4" s="1"/>
  <c r="O10" i="5"/>
  <c r="N71" i="4"/>
  <c r="N14" i="4"/>
  <c r="N101" i="4"/>
  <c r="N100" i="4" s="1"/>
  <c r="J59" i="4"/>
  <c r="J65" i="4"/>
  <c r="J30" i="4"/>
  <c r="J62" i="4"/>
  <c r="J49" i="4"/>
  <c r="J56" i="4"/>
  <c r="J116" i="4"/>
  <c r="L71" i="4"/>
  <c r="L101" i="4"/>
  <c r="N44" i="4"/>
  <c r="AD45" i="4"/>
  <c r="J46" i="4"/>
  <c r="H45" i="4"/>
  <c r="O101" i="4"/>
  <c r="K44" i="4"/>
  <c r="K43" i="4" s="1"/>
  <c r="K11" i="4" s="1"/>
  <c r="I44" i="4"/>
  <c r="I43" i="4" s="1"/>
  <c r="I11" i="4" s="1"/>
  <c r="F44" i="4"/>
  <c r="F43" i="4" s="1"/>
  <c r="F11" i="4" s="1"/>
  <c r="E44" i="4"/>
  <c r="O71" i="4"/>
  <c r="AD72" i="4"/>
  <c r="L14" i="4"/>
  <c r="AD37" i="4"/>
  <c r="AD75" i="4"/>
  <c r="AD27" i="4"/>
  <c r="L44" i="4"/>
  <c r="H15" i="4"/>
  <c r="J15" i="4" s="1"/>
  <c r="P15" i="4" s="1"/>
  <c r="G44" i="4"/>
  <c r="G43" i="4" s="1"/>
  <c r="O44" i="4"/>
  <c r="O14" i="4"/>
  <c r="P27" i="4" l="1"/>
  <c r="P59" i="4"/>
  <c r="M59" i="4"/>
  <c r="M71" i="4"/>
  <c r="M75" i="4"/>
  <c r="J106" i="4"/>
  <c r="M116" i="4"/>
  <c r="P116" i="4"/>
  <c r="M15" i="4"/>
  <c r="M65" i="4"/>
  <c r="P65" i="4"/>
  <c r="O100" i="4"/>
  <c r="M49" i="4"/>
  <c r="P49" i="4"/>
  <c r="L100" i="4"/>
  <c r="P56" i="4"/>
  <c r="M56" i="4"/>
  <c r="P46" i="4"/>
  <c r="M46" i="4"/>
  <c r="M62" i="4"/>
  <c r="P62" i="4"/>
  <c r="P71" i="4"/>
  <c r="M30" i="4"/>
  <c r="P30" i="4"/>
  <c r="J55" i="4"/>
  <c r="H101" i="4"/>
  <c r="E100" i="4"/>
  <c r="K10" i="4"/>
  <c r="K122" i="4" s="1"/>
  <c r="F10" i="4"/>
  <c r="F122" i="4" s="1"/>
  <c r="I10" i="4"/>
  <c r="I122" i="4" s="1"/>
  <c r="H14" i="4"/>
  <c r="J14" i="4" s="1"/>
  <c r="M14" i="4" s="1"/>
  <c r="E43" i="4"/>
  <c r="G11" i="4"/>
  <c r="G10" i="4" s="1"/>
  <c r="G122" i="4" s="1"/>
  <c r="N43" i="4"/>
  <c r="N13" i="4"/>
  <c r="AD13" i="4"/>
  <c r="AD12" i="4" s="1"/>
  <c r="AD101" i="4"/>
  <c r="AD100" i="4" s="1"/>
  <c r="J45" i="4"/>
  <c r="AD71" i="4"/>
  <c r="L13" i="4"/>
  <c r="L43" i="4"/>
  <c r="AD44" i="4"/>
  <c r="O43" i="4"/>
  <c r="H44" i="4"/>
  <c r="J44" i="4" s="1"/>
  <c r="M44" i="4" s="1"/>
  <c r="E12" i="4"/>
  <c r="H13" i="4"/>
  <c r="J13" i="4" s="1"/>
  <c r="O13" i="4"/>
  <c r="M55" i="4" l="1"/>
  <c r="P55" i="4"/>
  <c r="P44" i="4"/>
  <c r="P14" i="4"/>
  <c r="M13" i="4"/>
  <c r="P106" i="4"/>
  <c r="M106" i="4"/>
  <c r="P13" i="4"/>
  <c r="P45" i="4"/>
  <c r="M45" i="4"/>
  <c r="J101" i="4"/>
  <c r="H100" i="4"/>
  <c r="H43" i="4"/>
  <c r="J43" i="4" s="1"/>
  <c r="P43" i="4" s="1"/>
  <c r="N12" i="4"/>
  <c r="N80" i="4"/>
  <c r="L12" i="4"/>
  <c r="AD43" i="4"/>
  <c r="AD11" i="4" s="1"/>
  <c r="H12" i="4"/>
  <c r="J12" i="4" s="1"/>
  <c r="E11" i="4"/>
  <c r="O12" i="4"/>
  <c r="M43" i="4" l="1"/>
  <c r="P12" i="4"/>
  <c r="P101" i="4"/>
  <c r="M101" i="4"/>
  <c r="M12" i="4"/>
  <c r="J100" i="4"/>
  <c r="E80" i="4"/>
  <c r="E10" i="4" s="1"/>
  <c r="N11" i="4"/>
  <c r="N10" i="4" s="1"/>
  <c r="L80" i="4"/>
  <c r="L11" i="4"/>
  <c r="O80" i="4"/>
  <c r="H11" i="4"/>
  <c r="J11" i="4" s="1"/>
  <c r="O11" i="4"/>
  <c r="P11" i="4" l="1"/>
  <c r="M11" i="4"/>
  <c r="P100" i="4"/>
  <c r="M100" i="4"/>
  <c r="H80" i="4"/>
  <c r="J80" i="4" s="1"/>
  <c r="M80" i="4" s="1"/>
  <c r="N122" i="4"/>
  <c r="L10" i="4"/>
  <c r="AD80" i="4"/>
  <c r="AD10" i="4" s="1"/>
  <c r="H10" i="4"/>
  <c r="E122" i="4"/>
  <c r="O10" i="4"/>
  <c r="P80" i="4" l="1"/>
  <c r="O122" i="4"/>
  <c r="L122" i="4"/>
  <c r="J10" i="4"/>
  <c r="P10" i="4" s="1"/>
  <c r="H122" i="4"/>
  <c r="AD122" i="4"/>
  <c r="J122" i="4" l="1"/>
  <c r="M122" i="4" s="1"/>
  <c r="M10" i="4"/>
  <c r="P122" i="4" l="1"/>
  <c r="M7" i="4"/>
  <c r="AB96" i="4" l="1"/>
  <c r="AB95" i="4" s="1"/>
  <c r="AB116" i="4"/>
  <c r="AB106" i="4" s="1"/>
  <c r="AB56" i="4"/>
  <c r="AB84" i="4"/>
  <c r="AB83" i="4" s="1"/>
  <c r="AB30" i="4"/>
  <c r="AB82" i="4" l="1"/>
  <c r="AB81" i="4" s="1"/>
  <c r="AB38" i="4"/>
  <c r="AB37" i="4" s="1"/>
  <c r="AB102" i="4"/>
  <c r="AB76" i="4"/>
  <c r="AB75" i="4" s="1"/>
  <c r="AB27" i="4"/>
  <c r="AB59" i="4"/>
  <c r="AB49" i="4"/>
  <c r="AB65" i="4"/>
  <c r="AB46" i="4"/>
  <c r="AB23" i="4"/>
  <c r="AB15" i="4" l="1"/>
  <c r="AB14" i="4" s="1"/>
  <c r="AB13" i="4" s="1"/>
  <c r="AB12" i="4" s="1"/>
  <c r="AB80" i="4"/>
  <c r="AB101" i="4"/>
  <c r="AB100" i="4" s="1"/>
  <c r="AB62" i="4"/>
  <c r="AB45" i="4"/>
  <c r="AB55" i="4" l="1"/>
  <c r="AB44" i="4" l="1"/>
  <c r="AB43" i="4" s="1"/>
  <c r="AB11" i="4" s="1"/>
  <c r="AB10" i="4" s="1"/>
  <c r="AB122" i="4" l="1"/>
  <c r="X62" i="4" l="1"/>
  <c r="X107" i="4"/>
  <c r="X52" i="4" l="1"/>
  <c r="X116" i="4"/>
  <c r="X49" i="4"/>
  <c r="X68" i="4"/>
  <c r="X113" i="4"/>
  <c r="X59" i="4"/>
  <c r="X65" i="4"/>
  <c r="X23" i="4"/>
  <c r="X15" i="4" s="1"/>
  <c r="X30" i="4"/>
  <c r="X89" i="4"/>
  <c r="X76" i="4"/>
  <c r="X38" i="4"/>
  <c r="X110" i="4"/>
  <c r="X85" i="4"/>
  <c r="X92" i="4"/>
  <c r="X102" i="4"/>
  <c r="X97" i="4"/>
  <c r="X56" i="4"/>
  <c r="X46" i="4"/>
  <c r="X106" i="4" l="1"/>
  <c r="X75" i="4"/>
  <c r="X45" i="4"/>
  <c r="X37" i="4"/>
  <c r="X88" i="4"/>
  <c r="X84" i="4"/>
  <c r="X55" i="4"/>
  <c r="X96" i="4"/>
  <c r="X14" i="4"/>
  <c r="X27" i="4"/>
  <c r="X101" i="4" l="1"/>
  <c r="X100" i="4" s="1"/>
  <c r="X83" i="4"/>
  <c r="X44" i="4"/>
  <c r="X13" i="4"/>
  <c r="X95" i="4"/>
  <c r="X43" i="4" l="1"/>
  <c r="X82" i="4"/>
  <c r="X12" i="4"/>
  <c r="X81" i="4" l="1"/>
  <c r="X11" i="4"/>
  <c r="X80" i="4" l="1"/>
  <c r="X10" i="4" s="1"/>
  <c r="X122" i="4" l="1"/>
  <c r="X124" i="4" s="1"/>
  <c r="X126" i="4" l="1"/>
  <c r="AK29" i="4" l="1"/>
  <c r="AK41" i="4"/>
  <c r="AK70" i="4"/>
  <c r="AK21" i="4"/>
  <c r="AK32" i="4"/>
  <c r="AK54" i="4"/>
  <c r="S52" i="4"/>
  <c r="AK52" i="4" s="1"/>
  <c r="AK53" i="4"/>
  <c r="AK19" i="4"/>
  <c r="S113" i="4"/>
  <c r="AK113" i="4" s="1"/>
  <c r="AK114" i="4"/>
  <c r="AK33" i="4"/>
  <c r="AK40" i="4"/>
  <c r="AK35" i="4"/>
  <c r="S89" i="4"/>
  <c r="AK90" i="4"/>
  <c r="AK25" i="4"/>
  <c r="S46" i="4"/>
  <c r="AK47" i="4"/>
  <c r="S85" i="4"/>
  <c r="AK86" i="4"/>
  <c r="AK17" i="4"/>
  <c r="S23" i="4"/>
  <c r="S15" i="4" s="1"/>
  <c r="AK24" i="4"/>
  <c r="S38" i="4"/>
  <c r="AK39" i="4"/>
  <c r="AK22" i="4"/>
  <c r="AK28" i="4"/>
  <c r="AK115" i="4"/>
  <c r="S56" i="4"/>
  <c r="AK57" i="4"/>
  <c r="AK74" i="4"/>
  <c r="S73" i="4"/>
  <c r="S59" i="4"/>
  <c r="AK60" i="4"/>
  <c r="S30" i="4"/>
  <c r="AK31" i="4"/>
  <c r="S68" i="4"/>
  <c r="AK68" i="4" s="1"/>
  <c r="AK69" i="4"/>
  <c r="S116" i="4"/>
  <c r="AK117" i="4"/>
  <c r="AK58" i="4"/>
  <c r="S97" i="4"/>
  <c r="AK98" i="4"/>
  <c r="S62" i="4"/>
  <c r="AK63" i="4"/>
  <c r="S92" i="4"/>
  <c r="AK92" i="4" s="1"/>
  <c r="AK93" i="4"/>
  <c r="S65" i="4"/>
  <c r="AK66" i="4"/>
  <c r="AK112" i="4"/>
  <c r="AK20" i="4"/>
  <c r="S76" i="4"/>
  <c r="AK77" i="4"/>
  <c r="AK36" i="4"/>
  <c r="AK99" i="4"/>
  <c r="AK42" i="4"/>
  <c r="S102" i="4"/>
  <c r="AK104" i="4"/>
  <c r="AK120" i="4"/>
  <c r="S119" i="4"/>
  <c r="AK119" i="4" s="1"/>
  <c r="S110" i="4"/>
  <c r="AK110" i="4" s="1"/>
  <c r="AK111" i="4"/>
  <c r="AK118" i="4"/>
  <c r="AK91" i="4"/>
  <c r="AK34" i="4"/>
  <c r="S49" i="4"/>
  <c r="AK50" i="4"/>
  <c r="AK64" i="4"/>
  <c r="AK87" i="4"/>
  <c r="AK94" i="4"/>
  <c r="S107" i="4"/>
  <c r="AK109" i="4"/>
  <c r="AK67" i="4"/>
  <c r="AK26" i="4"/>
  <c r="AK48" i="4"/>
  <c r="AK79" i="4"/>
  <c r="AK78" i="4"/>
  <c r="AK61" i="4"/>
  <c r="AK51" i="4"/>
  <c r="AK18" i="4"/>
  <c r="AK16" i="4"/>
  <c r="S45" i="4" l="1"/>
  <c r="AK46" i="4"/>
  <c r="S27" i="4"/>
  <c r="AK30" i="4"/>
  <c r="AK116" i="4"/>
  <c r="S55" i="4"/>
  <c r="AK55" i="4" s="1"/>
  <c r="AK56" i="4"/>
  <c r="S37" i="4"/>
  <c r="AK38" i="4"/>
  <c r="S84" i="4"/>
  <c r="AK85" i="4"/>
  <c r="S72" i="4"/>
  <c r="AK73" i="4"/>
  <c r="AK62" i="4"/>
  <c r="S88" i="4"/>
  <c r="AK88" i="4" s="1"/>
  <c r="AK89" i="4"/>
  <c r="S106" i="4"/>
  <c r="AK106" i="4" s="1"/>
  <c r="AK107" i="4"/>
  <c r="AK59" i="4"/>
  <c r="AK49" i="4"/>
  <c r="AK102" i="4"/>
  <c r="S75" i="4"/>
  <c r="AK76" i="4"/>
  <c r="AK65" i="4"/>
  <c r="S96" i="4"/>
  <c r="AK97" i="4"/>
  <c r="AK23" i="4"/>
  <c r="S14" i="4"/>
  <c r="AK15" i="4"/>
  <c r="S101" i="4" l="1"/>
  <c r="S44" i="4"/>
  <c r="AK45" i="4"/>
  <c r="AK37" i="4"/>
  <c r="S95" i="4"/>
  <c r="AK95" i="4" s="1"/>
  <c r="AK96" i="4"/>
  <c r="S83" i="4"/>
  <c r="AK84" i="4"/>
  <c r="AK27" i="4"/>
  <c r="AK75" i="4"/>
  <c r="S71" i="4"/>
  <c r="AK72" i="4"/>
  <c r="S13" i="4"/>
  <c r="AK14" i="4"/>
  <c r="AK101" i="4" l="1"/>
  <c r="S100" i="4"/>
  <c r="AK100" i="4" s="1"/>
  <c r="AK71" i="4"/>
  <c r="S82" i="4"/>
  <c r="AK83" i="4"/>
  <c r="S43" i="4"/>
  <c r="AK44" i="4"/>
  <c r="S12" i="4"/>
  <c r="AK13" i="4"/>
  <c r="AK43" i="4" l="1"/>
  <c r="S81" i="4"/>
  <c r="AK82" i="4"/>
  <c r="S11" i="4"/>
  <c r="AK12" i="4"/>
  <c r="S80" i="4" l="1"/>
  <c r="S10" i="4" s="1"/>
  <c r="AK81" i="4"/>
  <c r="AK11" i="4"/>
  <c r="AK80" i="4" l="1"/>
  <c r="S122" i="4"/>
  <c r="AK10" i="4"/>
  <c r="S124" i="4" l="1"/>
  <c r="S126" i="4" s="1"/>
  <c r="R91" i="4" l="1"/>
  <c r="Q91" i="4" s="1"/>
  <c r="T91" i="4" s="1"/>
  <c r="R22" i="4"/>
  <c r="Q22" i="4" s="1"/>
  <c r="T22" i="4" s="1"/>
  <c r="R54" i="4"/>
  <c r="Q54" i="4" s="1"/>
  <c r="T54" i="4" s="1"/>
  <c r="R70" i="4"/>
  <c r="Q70" i="4" s="1"/>
  <c r="T70" i="4" s="1"/>
  <c r="R78" i="4"/>
  <c r="Q78" i="4" s="1"/>
  <c r="T78" i="4" s="1"/>
  <c r="R94" i="4"/>
  <c r="Q94" i="4" s="1"/>
  <c r="T94" i="4" s="1"/>
  <c r="R118" i="4"/>
  <c r="Q118" i="4" s="1"/>
  <c r="T118" i="4" s="1"/>
  <c r="R19" i="4"/>
  <c r="Q19" i="4" s="1"/>
  <c r="T19" i="4" s="1"/>
  <c r="R35" i="4"/>
  <c r="Q35" i="4" s="1"/>
  <c r="T35" i="4" s="1"/>
  <c r="R51" i="4"/>
  <c r="Q51" i="4" s="1"/>
  <c r="T51" i="4" s="1"/>
  <c r="R67" i="4"/>
  <c r="Q67" i="4" s="1"/>
  <c r="T67" i="4" s="1"/>
  <c r="R99" i="4"/>
  <c r="Q99" i="4"/>
  <c r="T99" i="4" s="1"/>
  <c r="R115" i="4"/>
  <c r="Q115" i="4" s="1"/>
  <c r="T115" i="4" s="1"/>
  <c r="R17" i="4"/>
  <c r="Q17" i="4" s="1"/>
  <c r="T17" i="4" s="1"/>
  <c r="R25" i="4"/>
  <c r="Q25" i="4" s="1"/>
  <c r="T25" i="4" s="1"/>
  <c r="R33" i="4"/>
  <c r="Q33" i="4" s="1"/>
  <c r="T33" i="4" s="1"/>
  <c r="R41" i="4"/>
  <c r="Q41" i="4" s="1"/>
  <c r="T41" i="4" s="1"/>
  <c r="R105" i="4"/>
  <c r="Q105" i="4" s="1"/>
  <c r="T105" i="4" s="1"/>
  <c r="R36" i="4"/>
  <c r="Q36" i="4" s="1"/>
  <c r="T36" i="4" s="1"/>
  <c r="R31" i="4"/>
  <c r="Q31" i="4" s="1"/>
  <c r="T31" i="4" s="1"/>
  <c r="R63" i="4"/>
  <c r="R79" i="4"/>
  <c r="Q79" i="4" s="1"/>
  <c r="T79" i="4" s="1"/>
  <c r="R87" i="4"/>
  <c r="Q87" i="4" s="1"/>
  <c r="T87" i="4" s="1"/>
  <c r="R111" i="4"/>
  <c r="Q111" i="4" s="1"/>
  <c r="T111" i="4" s="1"/>
  <c r="R20" i="4"/>
  <c r="Q20" i="4" s="1"/>
  <c r="T20" i="4" s="1"/>
  <c r="R60" i="4"/>
  <c r="Q60" i="4" s="1"/>
  <c r="T60" i="4" s="1"/>
  <c r="R18" i="4"/>
  <c r="Q18" i="4" s="1"/>
  <c r="T18" i="4" s="1"/>
  <c r="R26" i="4"/>
  <c r="Q26" i="4" s="1"/>
  <c r="T26" i="4" s="1"/>
  <c r="R34" i="4"/>
  <c r="Q34" i="4" s="1"/>
  <c r="T34" i="4" s="1"/>
  <c r="R42" i="4"/>
  <c r="Q42" i="4" s="1"/>
  <c r="T42" i="4" s="1"/>
  <c r="R50" i="4"/>
  <c r="Q50" i="4" s="1"/>
  <c r="T50" i="4" s="1"/>
  <c r="R58" i="4"/>
  <c r="Q58" i="4" s="1"/>
  <c r="T58" i="4" s="1"/>
  <c r="R66" i="4"/>
  <c r="R108" i="4"/>
  <c r="R114" i="4"/>
  <c r="Q114" i="4" s="1"/>
  <c r="R28" i="4"/>
  <c r="Q28" i="4" s="1"/>
  <c r="T28" i="4" s="1"/>
  <c r="R117" i="4"/>
  <c r="Q117" i="4" s="1"/>
  <c r="T117" i="4" s="1"/>
  <c r="R21" i="4"/>
  <c r="Q21" i="4" s="1"/>
  <c r="T21" i="4" s="1"/>
  <c r="R29" i="4"/>
  <c r="Q29" i="4" s="1"/>
  <c r="T29" i="4" s="1"/>
  <c r="R39" i="4"/>
  <c r="Q39" i="4" s="1"/>
  <c r="T39" i="4" s="1"/>
  <c r="R53" i="4"/>
  <c r="R61" i="4"/>
  <c r="Q61" i="4" s="1"/>
  <c r="T61" i="4" s="1"/>
  <c r="R69" i="4"/>
  <c r="Q69" i="4" s="1"/>
  <c r="R77" i="4"/>
  <c r="Q77" i="4" s="1"/>
  <c r="T77" i="4" s="1"/>
  <c r="R93" i="4"/>
  <c r="R109" i="4"/>
  <c r="Q109" i="4" s="1"/>
  <c r="T109" i="4" s="1"/>
  <c r="R47" i="4"/>
  <c r="R24" i="4"/>
  <c r="R32" i="4"/>
  <c r="Q32" i="4" s="1"/>
  <c r="T32" i="4" s="1"/>
  <c r="R40" i="4"/>
  <c r="Q40" i="4" s="1"/>
  <c r="T40" i="4" s="1"/>
  <c r="R48" i="4"/>
  <c r="Q48" i="4" s="1"/>
  <c r="T48" i="4" s="1"/>
  <c r="R57" i="4"/>
  <c r="Q57" i="4" s="1"/>
  <c r="T57" i="4" s="1"/>
  <c r="R64" i="4"/>
  <c r="Q64" i="4" s="1"/>
  <c r="T64" i="4" s="1"/>
  <c r="R74" i="4"/>
  <c r="Q74" i="4" s="1"/>
  <c r="T74" i="4" s="1"/>
  <c r="R16" i="4"/>
  <c r="Q16" i="4" s="1"/>
  <c r="T16" i="4" s="1"/>
  <c r="R86" i="4"/>
  <c r="Q86" i="4" s="1"/>
  <c r="R90" i="4"/>
  <c r="R98" i="4"/>
  <c r="R103" i="4"/>
  <c r="Q103" i="4" s="1"/>
  <c r="T103" i="4" s="1"/>
  <c r="R104" i="4"/>
  <c r="Q104" i="4" s="1"/>
  <c r="T104" i="4" s="1"/>
  <c r="R112" i="4"/>
  <c r="R120" i="4"/>
  <c r="R119" i="4" s="1"/>
  <c r="R92" i="4" l="1"/>
  <c r="R52" i="4"/>
  <c r="R97" i="4"/>
  <c r="R96" i="4" s="1"/>
  <c r="R95" i="4" s="1"/>
  <c r="R110" i="4"/>
  <c r="R89" i="4"/>
  <c r="R88" i="4" s="1"/>
  <c r="R73" i="4"/>
  <c r="Q112" i="4"/>
  <c r="T112" i="4" s="1"/>
  <c r="T110" i="4" s="1"/>
  <c r="R56" i="4"/>
  <c r="Q56" i="4" s="1"/>
  <c r="T56" i="4" s="1"/>
  <c r="Q113" i="4"/>
  <c r="Q120" i="4"/>
  <c r="Q119" i="4" s="1"/>
  <c r="R113" i="4"/>
  <c r="R38" i="4"/>
  <c r="Q38" i="4" s="1"/>
  <c r="T38" i="4" s="1"/>
  <c r="Q53" i="4"/>
  <c r="T102" i="4"/>
  <c r="R30" i="4"/>
  <c r="Q30" i="4" s="1"/>
  <c r="T30" i="4" s="1"/>
  <c r="T116" i="4"/>
  <c r="R116" i="4"/>
  <c r="Q116" i="4" s="1"/>
  <c r="R23" i="4"/>
  <c r="Q23" i="4" s="1"/>
  <c r="T23" i="4" s="1"/>
  <c r="T15" i="4" s="1"/>
  <c r="T14" i="4" s="1"/>
  <c r="R68" i="4"/>
  <c r="R49" i="4"/>
  <c r="Q49" i="4" s="1"/>
  <c r="T49" i="4" s="1"/>
  <c r="R76" i="4"/>
  <c r="R75" i="4" s="1"/>
  <c r="Q75" i="4" s="1"/>
  <c r="T75" i="4" s="1"/>
  <c r="Q98" i="4"/>
  <c r="R46" i="4"/>
  <c r="Q46" i="4" s="1"/>
  <c r="T46" i="4" s="1"/>
  <c r="T114" i="4"/>
  <c r="T113" i="4" s="1"/>
  <c r="T86" i="4"/>
  <c r="T85" i="4" s="1"/>
  <c r="T84" i="4" s="1"/>
  <c r="Q85" i="4"/>
  <c r="Q84" i="4" s="1"/>
  <c r="R107" i="4"/>
  <c r="Q108" i="4"/>
  <c r="Q102" i="4"/>
  <c r="R102" i="4"/>
  <c r="R85" i="4"/>
  <c r="R84" i="4" s="1"/>
  <c r="Q68" i="4"/>
  <c r="T69" i="4"/>
  <c r="T68" i="4" s="1"/>
  <c r="R62" i="4"/>
  <c r="Q62" i="4" s="1"/>
  <c r="T62" i="4" s="1"/>
  <c r="Q63" i="4"/>
  <c r="T63" i="4" s="1"/>
  <c r="Q93" i="4"/>
  <c r="Q47" i="4"/>
  <c r="T47" i="4" s="1"/>
  <c r="Q90" i="4"/>
  <c r="Q24" i="4"/>
  <c r="T24" i="4" s="1"/>
  <c r="R65" i="4"/>
  <c r="Q65" i="4" s="1"/>
  <c r="T65" i="4" s="1"/>
  <c r="Q66" i="4"/>
  <c r="T66" i="4" s="1"/>
  <c r="R59" i="4"/>
  <c r="Q59" i="4" s="1"/>
  <c r="T59" i="4" s="1"/>
  <c r="R83" i="4" l="1"/>
  <c r="R82" i="4" s="1"/>
  <c r="R81" i="4" s="1"/>
  <c r="R80" i="4" s="1"/>
  <c r="Q80" i="4" s="1"/>
  <c r="T80" i="4" s="1"/>
  <c r="Q73" i="4"/>
  <c r="T73" i="4" s="1"/>
  <c r="R72" i="4"/>
  <c r="Q110" i="4"/>
  <c r="R15" i="4"/>
  <c r="T120" i="4"/>
  <c r="T119" i="4" s="1"/>
  <c r="R45" i="4"/>
  <c r="R37" i="4"/>
  <c r="Q37" i="4" s="1"/>
  <c r="T37" i="4" s="1"/>
  <c r="R55" i="4"/>
  <c r="Q76" i="4"/>
  <c r="T76" i="4" s="1"/>
  <c r="T55" i="4"/>
  <c r="Q55" i="4"/>
  <c r="Q97" i="4"/>
  <c r="Q96" i="4" s="1"/>
  <c r="Q95" i="4" s="1"/>
  <c r="T98" i="4"/>
  <c r="T97" i="4" s="1"/>
  <c r="T96" i="4" s="1"/>
  <c r="T95" i="4" s="1"/>
  <c r="R27" i="4"/>
  <c r="Q27" i="4" s="1"/>
  <c r="T27" i="4" s="1"/>
  <c r="Q52" i="4"/>
  <c r="T53" i="4"/>
  <c r="T52" i="4" s="1"/>
  <c r="T45" i="4" s="1"/>
  <c r="R106" i="4"/>
  <c r="R101" i="4" s="1"/>
  <c r="T108" i="4"/>
  <c r="T107" i="4" s="1"/>
  <c r="Q107" i="4"/>
  <c r="T90" i="4"/>
  <c r="T89" i="4" s="1"/>
  <c r="Q89" i="4"/>
  <c r="Q92" i="4"/>
  <c r="T93" i="4"/>
  <c r="T92" i="4" s="1"/>
  <c r="Q106" i="4" l="1"/>
  <c r="R71" i="4"/>
  <c r="Q71" i="4" s="1"/>
  <c r="T71" i="4" s="1"/>
  <c r="Q72" i="4"/>
  <c r="T72" i="4" s="1"/>
  <c r="Q15" i="4"/>
  <c r="R14" i="4"/>
  <c r="Q45" i="4"/>
  <c r="R44" i="4"/>
  <c r="T106" i="4"/>
  <c r="T13" i="4"/>
  <c r="T12" i="4" s="1"/>
  <c r="Q88" i="4"/>
  <c r="Q83" i="4" s="1"/>
  <c r="Q82" i="4" s="1"/>
  <c r="Q81" i="4" s="1"/>
  <c r="T88" i="4"/>
  <c r="T83" i="4" s="1"/>
  <c r="T82" i="4" s="1"/>
  <c r="T81" i="4" s="1"/>
  <c r="Q101" i="4"/>
  <c r="R100" i="4"/>
  <c r="R43" i="4" l="1"/>
  <c r="Q43" i="4" s="1"/>
  <c r="T43" i="4" s="1"/>
  <c r="T11" i="4" s="1"/>
  <c r="Q44" i="4"/>
  <c r="T44" i="4" s="1"/>
  <c r="Q14" i="4"/>
  <c r="R13" i="4"/>
  <c r="T101" i="4"/>
  <c r="T100" i="4" s="1"/>
  <c r="Q100" i="4"/>
  <c r="R12" i="4" l="1"/>
  <c r="Q13" i="4"/>
  <c r="T10" i="4"/>
  <c r="T122" i="4" s="1"/>
  <c r="Q12" i="4"/>
  <c r="R11" i="4"/>
  <c r="Q11" i="4" l="1"/>
  <c r="R10" i="4"/>
  <c r="Q10" i="4" l="1"/>
  <c r="R122" i="4"/>
  <c r="Q122" i="4" s="1"/>
  <c r="Q125" i="4" s="1"/>
  <c r="W61" i="4"/>
  <c r="V61" i="4" s="1"/>
  <c r="W34" i="4"/>
  <c r="V34" i="4" s="1"/>
  <c r="U34" i="4" s="1"/>
  <c r="W29" i="4"/>
  <c r="V29" i="4" s="1"/>
  <c r="W42" i="4"/>
  <c r="V42" i="4" s="1"/>
  <c r="U42" i="4" s="1"/>
  <c r="W109" i="4"/>
  <c r="V109" i="4" s="1"/>
  <c r="W21" i="4"/>
  <c r="V21" i="4" s="1"/>
  <c r="W17" i="4"/>
  <c r="V17" i="4" s="1"/>
  <c r="U17" i="4" s="1"/>
  <c r="W58" i="4"/>
  <c r="V58" i="4" s="1"/>
  <c r="W26" i="4"/>
  <c r="V26" i="4" s="1"/>
  <c r="U26" i="4" s="1"/>
  <c r="W18" i="4"/>
  <c r="V18" i="4" s="1"/>
  <c r="W87" i="4"/>
  <c r="V87" i="4" s="1"/>
  <c r="W79" i="4"/>
  <c r="V79" i="4"/>
  <c r="U79" i="4" s="1"/>
  <c r="W105" i="4"/>
  <c r="V105" i="4" s="1"/>
  <c r="U105" i="4" s="1"/>
  <c r="W66" i="4"/>
  <c r="V66" i="4" s="1"/>
  <c r="U66" i="4" s="1"/>
  <c r="W41" i="4"/>
  <c r="V41" i="4" s="1"/>
  <c r="U41" i="4" s="1"/>
  <c r="W25" i="4"/>
  <c r="V25" i="4" s="1"/>
  <c r="Y25" i="4" s="1"/>
  <c r="W54" i="4"/>
  <c r="V54" i="4" s="1"/>
  <c r="U54" i="4" s="1"/>
  <c r="W24" i="4"/>
  <c r="W50" i="4"/>
  <c r="V50" i="4" s="1"/>
  <c r="W117" i="4"/>
  <c r="V117" i="4" s="1"/>
  <c r="W60" i="4"/>
  <c r="V60" i="4" s="1"/>
  <c r="W78" i="4"/>
  <c r="V78" i="4" s="1"/>
  <c r="U78" i="4" s="1"/>
  <c r="W31" i="4"/>
  <c r="V31" i="4" s="1"/>
  <c r="U31" i="4" s="1"/>
  <c r="W22" i="4"/>
  <c r="V22" i="4"/>
  <c r="W98" i="4"/>
  <c r="W91" i="4"/>
  <c r="V91" i="4" s="1"/>
  <c r="U91" i="4" s="1"/>
  <c r="W51" i="4"/>
  <c r="V51" i="4" s="1"/>
  <c r="U51" i="4" s="1"/>
  <c r="W112" i="4"/>
  <c r="V112" i="4" s="1"/>
  <c r="W114" i="4"/>
  <c r="W77" i="4"/>
  <c r="V77" i="4" s="1"/>
  <c r="W69" i="4"/>
  <c r="V69" i="4" s="1"/>
  <c r="W94" i="4"/>
  <c r="V94" i="4" s="1"/>
  <c r="W70" i="4"/>
  <c r="V70" i="4" s="1"/>
  <c r="Y70" i="4" s="1"/>
  <c r="W63" i="4"/>
  <c r="V63" i="4" s="1"/>
  <c r="U63" i="4" s="1"/>
  <c r="W39" i="4"/>
  <c r="W74" i="4"/>
  <c r="V74" i="4" s="1"/>
  <c r="W40" i="4"/>
  <c r="V40" i="4" s="1"/>
  <c r="W32" i="4"/>
  <c r="V32" i="4" s="1"/>
  <c r="Y32" i="4" s="1"/>
  <c r="W35" i="4"/>
  <c r="V35" i="4" s="1"/>
  <c r="W28" i="4"/>
  <c r="W120" i="4"/>
  <c r="W90" i="4"/>
  <c r="W108" i="4"/>
  <c r="W33" i="4"/>
  <c r="V33" i="4" s="1"/>
  <c r="U33" i="4" s="1"/>
  <c r="W36" i="4"/>
  <c r="V36" i="4" s="1"/>
  <c r="W20" i="4"/>
  <c r="V20" i="4" s="1"/>
  <c r="W118" i="4"/>
  <c r="V118" i="4" s="1"/>
  <c r="W111" i="4"/>
  <c r="V111" i="4" s="1"/>
  <c r="Y111" i="4" s="1"/>
  <c r="W104" i="4"/>
  <c r="V104" i="4" s="1"/>
  <c r="U104" i="4" s="1"/>
  <c r="W103" i="4"/>
  <c r="V103" i="4" s="1"/>
  <c r="Y103" i="4" s="1"/>
  <c r="W115" i="4"/>
  <c r="V115" i="4" s="1"/>
  <c r="W99" i="4"/>
  <c r="V99" i="4" s="1"/>
  <c r="U99" i="4" s="1"/>
  <c r="W67" i="4"/>
  <c r="V67" i="4" s="1"/>
  <c r="W47" i="4"/>
  <c r="V47" i="4" s="1"/>
  <c r="W19" i="4"/>
  <c r="V19" i="4" s="1"/>
  <c r="W86" i="4"/>
  <c r="V86" i="4" s="1"/>
  <c r="W16" i="4"/>
  <c r="W64" i="4"/>
  <c r="W48" i="4"/>
  <c r="V48" i="4" s="1"/>
  <c r="U48" i="4" s="1"/>
  <c r="W53" i="4"/>
  <c r="W93" i="4"/>
  <c r="W57" i="4"/>
  <c r="W56" i="4" l="1"/>
  <c r="V56" i="4" s="1"/>
  <c r="W76" i="4"/>
  <c r="Y79" i="4"/>
  <c r="W23" i="4"/>
  <c r="U18" i="4"/>
  <c r="Y18" i="4"/>
  <c r="U109" i="4"/>
  <c r="Y109" i="4"/>
  <c r="W52" i="4"/>
  <c r="W62" i="4"/>
  <c r="V62" i="4" s="1"/>
  <c r="W65" i="4"/>
  <c r="V65" i="4" s="1"/>
  <c r="U65" i="4" s="1"/>
  <c r="W107" i="4"/>
  <c r="W92" i="4"/>
  <c r="U70" i="4"/>
  <c r="W85" i="4"/>
  <c r="W84" i="4" s="1"/>
  <c r="U32" i="4"/>
  <c r="Y26" i="4"/>
  <c r="U118" i="4"/>
  <c r="Y118" i="4"/>
  <c r="U19" i="4"/>
  <c r="Y19" i="4"/>
  <c r="Y115" i="4"/>
  <c r="U115" i="4"/>
  <c r="Y60" i="4"/>
  <c r="U60" i="4"/>
  <c r="W38" i="4"/>
  <c r="V24" i="4"/>
  <c r="Y34" i="4"/>
  <c r="W110" i="4"/>
  <c r="V93" i="4"/>
  <c r="V92" i="4" s="1"/>
  <c r="W73" i="4"/>
  <c r="W72" i="4" s="1"/>
  <c r="Y41" i="4"/>
  <c r="Y17" i="4"/>
  <c r="Y40" i="4"/>
  <c r="U40" i="4"/>
  <c r="U36" i="4"/>
  <c r="Y36" i="4"/>
  <c r="U103" i="4"/>
  <c r="V108" i="4"/>
  <c r="V64" i="4"/>
  <c r="U102" i="4"/>
  <c r="W30" i="4"/>
  <c r="V30" i="4" s="1"/>
  <c r="U30" i="4" s="1"/>
  <c r="Y54" i="4"/>
  <c r="Y105" i="4"/>
  <c r="W89" i="4"/>
  <c r="V39" i="4"/>
  <c r="U39" i="4" s="1"/>
  <c r="W49" i="4"/>
  <c r="V49" i="4" s="1"/>
  <c r="U49" i="4" s="1"/>
  <c r="Y104" i="4"/>
  <c r="Y51" i="4"/>
  <c r="U25" i="4"/>
  <c r="Y31" i="4"/>
  <c r="Y47" i="4"/>
  <c r="U47" i="4"/>
  <c r="U86" i="4"/>
  <c r="Y86" i="4"/>
  <c r="V85" i="4"/>
  <c r="V84" i="4" s="1"/>
  <c r="W46" i="4"/>
  <c r="U94" i="4"/>
  <c r="Y94" i="4"/>
  <c r="U69" i="4"/>
  <c r="V68" i="4"/>
  <c r="Y69" i="4"/>
  <c r="Y68" i="4" s="1"/>
  <c r="U61" i="4"/>
  <c r="Y61" i="4"/>
  <c r="U58" i="4"/>
  <c r="Y58" i="4"/>
  <c r="Y99" i="4"/>
  <c r="Y48" i="4"/>
  <c r="W68" i="4"/>
  <c r="W97" i="4"/>
  <c r="W96" i="4" s="1"/>
  <c r="W95" i="4" s="1"/>
  <c r="V98" i="4"/>
  <c r="W119" i="4"/>
  <c r="V120" i="4"/>
  <c r="Y117" i="4"/>
  <c r="U117" i="4"/>
  <c r="Y63" i="4"/>
  <c r="Y29" i="4"/>
  <c r="U29" i="4"/>
  <c r="V57" i="4"/>
  <c r="U35" i="4"/>
  <c r="Y35" i="4"/>
  <c r="U112" i="4"/>
  <c r="Y112" i="4"/>
  <c r="Y110" i="4" s="1"/>
  <c r="V53" i="4"/>
  <c r="U67" i="4"/>
  <c r="Y67" i="4"/>
  <c r="Y33" i="4"/>
  <c r="U22" i="4"/>
  <c r="Y22" i="4"/>
  <c r="W59" i="4"/>
  <c r="V59" i="4" s="1"/>
  <c r="U87" i="4"/>
  <c r="Y87" i="4"/>
  <c r="V114" i="4"/>
  <c r="W113" i="4"/>
  <c r="V16" i="4"/>
  <c r="U20" i="4"/>
  <c r="Y20" i="4"/>
  <c r="V90" i="4"/>
  <c r="U50" i="4"/>
  <c r="Y50" i="4"/>
  <c r="Y42" i="4"/>
  <c r="U111" i="4"/>
  <c r="U74" i="4"/>
  <c r="Y74" i="4"/>
  <c r="Y66" i="4"/>
  <c r="V110" i="4"/>
  <c r="Y91" i="4"/>
  <c r="Y78" i="4"/>
  <c r="U21" i="4"/>
  <c r="Y21" i="4"/>
  <c r="V102" i="4"/>
  <c r="W102" i="4"/>
  <c r="V28" i="4"/>
  <c r="Y77" i="4"/>
  <c r="U77" i="4"/>
  <c r="W116" i="4"/>
  <c r="V116" i="4" s="1"/>
  <c r="Y116" i="4" s="1"/>
  <c r="W75" i="4" l="1"/>
  <c r="V75" i="4" s="1"/>
  <c r="Y75" i="4" s="1"/>
  <c r="V76" i="4"/>
  <c r="V23" i="4"/>
  <c r="W15" i="4"/>
  <c r="W88" i="4"/>
  <c r="W83" i="4" s="1"/>
  <c r="W82" i="4" s="1"/>
  <c r="W81" i="4" s="1"/>
  <c r="W80" i="4" s="1"/>
  <c r="V80" i="4" s="1"/>
  <c r="Y80" i="4" s="1"/>
  <c r="U62" i="4"/>
  <c r="Y62" i="4"/>
  <c r="U75" i="4"/>
  <c r="V38" i="4"/>
  <c r="W37" i="4"/>
  <c r="V37" i="4" s="1"/>
  <c r="U68" i="4"/>
  <c r="V73" i="4"/>
  <c r="Y102" i="4"/>
  <c r="U116" i="4"/>
  <c r="Y65" i="4"/>
  <c r="Y30" i="4"/>
  <c r="W27" i="4"/>
  <c r="V27" i="4" s="1"/>
  <c r="U27" i="4" s="1"/>
  <c r="Y93" i="4"/>
  <c r="Y92" i="4" s="1"/>
  <c r="U93" i="4"/>
  <c r="U92" i="4" s="1"/>
  <c r="Y39" i="4"/>
  <c r="Y24" i="4"/>
  <c r="U24" i="4"/>
  <c r="W106" i="4"/>
  <c r="W101" i="4" s="1"/>
  <c r="Y49" i="4"/>
  <c r="Y108" i="4"/>
  <c r="Y107" i="4" s="1"/>
  <c r="U108" i="4"/>
  <c r="U107" i="4" s="1"/>
  <c r="V107" i="4"/>
  <c r="W55" i="4"/>
  <c r="U64" i="4"/>
  <c r="Y64" i="4"/>
  <c r="Y85" i="4"/>
  <c r="Y84" i="4" s="1"/>
  <c r="Y28" i="4"/>
  <c r="U28" i="4"/>
  <c r="W45" i="4"/>
  <c r="V46" i="4"/>
  <c r="U85" i="4"/>
  <c r="U84" i="4" s="1"/>
  <c r="U110" i="4"/>
  <c r="U57" i="4"/>
  <c r="Y57" i="4"/>
  <c r="W71" i="4"/>
  <c r="V71" i="4" s="1"/>
  <c r="V72" i="4"/>
  <c r="Y98" i="4"/>
  <c r="Y97" i="4" s="1"/>
  <c r="Y96" i="4" s="1"/>
  <c r="Y95" i="4" s="1"/>
  <c r="V97" i="4"/>
  <c r="V96" i="4" s="1"/>
  <c r="V95" i="4" s="1"/>
  <c r="U98" i="4"/>
  <c r="U97" i="4" s="1"/>
  <c r="U96" i="4" s="1"/>
  <c r="U95" i="4" s="1"/>
  <c r="Y59" i="4"/>
  <c r="U59" i="4"/>
  <c r="V113" i="4"/>
  <c r="U114" i="4"/>
  <c r="U113" i="4" s="1"/>
  <c r="Y114" i="4"/>
  <c r="Y113" i="4" s="1"/>
  <c r="V52" i="4"/>
  <c r="U53" i="4"/>
  <c r="U52" i="4" s="1"/>
  <c r="Y53" i="4"/>
  <c r="Y52" i="4" s="1"/>
  <c r="U120" i="4"/>
  <c r="U119" i="4" s="1"/>
  <c r="V119" i="4"/>
  <c r="Y120" i="4"/>
  <c r="Y119" i="4" s="1"/>
  <c r="Y90" i="4"/>
  <c r="Y89" i="4" s="1"/>
  <c r="V89" i="4"/>
  <c r="V88" i="4" s="1"/>
  <c r="V83" i="4" s="1"/>
  <c r="U90" i="4"/>
  <c r="U89" i="4" s="1"/>
  <c r="U16" i="4"/>
  <c r="Y16" i="4"/>
  <c r="V55" i="4"/>
  <c r="U56" i="4"/>
  <c r="Y56" i="4"/>
  <c r="U76" i="4" l="1"/>
  <c r="Y76" i="4"/>
  <c r="Y23" i="4"/>
  <c r="U23" i="4"/>
  <c r="U15" i="4" s="1"/>
  <c r="U14" i="4" s="1"/>
  <c r="V15" i="4"/>
  <c r="Y15" i="4" s="1"/>
  <c r="W14" i="4"/>
  <c r="Y38" i="4"/>
  <c r="U38" i="4"/>
  <c r="U37" i="4"/>
  <c r="Y37" i="4"/>
  <c r="V82" i="4"/>
  <c r="V81" i="4" s="1"/>
  <c r="U73" i="4"/>
  <c r="Y73" i="4"/>
  <c r="Y88" i="4"/>
  <c r="Y83" i="4" s="1"/>
  <c r="Y82" i="4" s="1"/>
  <c r="Y81" i="4" s="1"/>
  <c r="Y27" i="4"/>
  <c r="U88" i="4"/>
  <c r="U83" i="4" s="1"/>
  <c r="U82" i="4" s="1"/>
  <c r="U81" i="4" s="1"/>
  <c r="Y106" i="4"/>
  <c r="U80" i="4"/>
  <c r="U106" i="4"/>
  <c r="Y55" i="4"/>
  <c r="U55" i="4"/>
  <c r="Y46" i="4"/>
  <c r="U46" i="4"/>
  <c r="U45" i="4" s="1"/>
  <c r="Y71" i="4"/>
  <c r="U71" i="4"/>
  <c r="W100" i="4"/>
  <c r="V101" i="4"/>
  <c r="W44" i="4"/>
  <c r="V45" i="4"/>
  <c r="Y45" i="4" s="1"/>
  <c r="V106" i="4"/>
  <c r="Y72" i="4"/>
  <c r="U72" i="4"/>
  <c r="U13" i="4" l="1"/>
  <c r="U12" i="4" s="1"/>
  <c r="V14" i="4"/>
  <c r="Y14" i="4" s="1"/>
  <c r="W13" i="4"/>
  <c r="Y101" i="4"/>
  <c r="Y100" i="4" s="1"/>
  <c r="U101" i="4"/>
  <c r="U100" i="4" s="1"/>
  <c r="V100" i="4"/>
  <c r="V44" i="4"/>
  <c r="W43" i="4"/>
  <c r="V43" i="4" s="1"/>
  <c r="V13" i="4" l="1"/>
  <c r="Y13" i="4" s="1"/>
  <c r="W12" i="4"/>
  <c r="W11" i="4" s="1"/>
  <c r="U43" i="4"/>
  <c r="U11" i="4" s="1"/>
  <c r="U10" i="4" s="1"/>
  <c r="U122" i="4" s="1"/>
  <c r="Y43" i="4"/>
  <c r="V12" i="4"/>
  <c r="Y12" i="4" s="1"/>
  <c r="Y44" i="4"/>
  <c r="U44" i="4"/>
  <c r="W10" i="4" l="1"/>
  <c r="V11" i="4"/>
  <c r="Y11" i="4" s="1"/>
  <c r="V10" i="4" l="1"/>
  <c r="Y10" i="4" s="1"/>
  <c r="Y122" i="4" s="1"/>
  <c r="W122" i="4"/>
  <c r="V122" i="4" s="1"/>
  <c r="AA104" i="4"/>
  <c r="Z104" i="4" s="1"/>
  <c r="AC104" i="4" s="1"/>
  <c r="AA64" i="4"/>
  <c r="Z64" i="4" s="1"/>
  <c r="AC64" i="4" s="1"/>
  <c r="AA114" i="4"/>
  <c r="Z114" i="4" s="1"/>
  <c r="AA105" i="4"/>
  <c r="Z105" i="4" s="1"/>
  <c r="AC105" i="4" s="1"/>
  <c r="AA41" i="4"/>
  <c r="Z41" i="4" s="1"/>
  <c r="AC41" i="4" s="1"/>
  <c r="AA33" i="4"/>
  <c r="Z33" i="4" s="1"/>
  <c r="AC33" i="4" s="1"/>
  <c r="AA25" i="4"/>
  <c r="Z25" i="4" s="1"/>
  <c r="AC25" i="4" s="1"/>
  <c r="AA17" i="4"/>
  <c r="Z17" i="4" s="1"/>
  <c r="AC17" i="4" s="1"/>
  <c r="AA90" i="4"/>
  <c r="AA120" i="4"/>
  <c r="AA119" i="4" s="1"/>
  <c r="AA87" i="4"/>
  <c r="Z87" i="4" s="1"/>
  <c r="AC87" i="4" s="1"/>
  <c r="AA79" i="4"/>
  <c r="Z79" i="4"/>
  <c r="AC79" i="4" s="1"/>
  <c r="AA98" i="4"/>
  <c r="Z98" i="4" s="1"/>
  <c r="AC98" i="4" s="1"/>
  <c r="AA24" i="4"/>
  <c r="Z24" i="4" s="1"/>
  <c r="AC24" i="4" s="1"/>
  <c r="AA118" i="4"/>
  <c r="Z118" i="4" s="1"/>
  <c r="AC118" i="4" s="1"/>
  <c r="AA111" i="4"/>
  <c r="AA94" i="4"/>
  <c r="Z94" i="4" s="1"/>
  <c r="AC94" i="4" s="1"/>
  <c r="AA78" i="4"/>
  <c r="Z78" i="4" s="1"/>
  <c r="AC78" i="4" s="1"/>
  <c r="AA70" i="4"/>
  <c r="Z70" i="4" s="1"/>
  <c r="AC70" i="4" s="1"/>
  <c r="AA63" i="4"/>
  <c r="Z63" i="4" s="1"/>
  <c r="AC63" i="4" s="1"/>
  <c r="AA54" i="4"/>
  <c r="AA31" i="4"/>
  <c r="Z31" i="4" s="1"/>
  <c r="AC31" i="4" s="1"/>
  <c r="AA22" i="4"/>
  <c r="Z22" i="4" s="1"/>
  <c r="AC22" i="4" s="1"/>
  <c r="AA40" i="4"/>
  <c r="Z40" i="4" s="1"/>
  <c r="AC40" i="4" s="1"/>
  <c r="AA109" i="4"/>
  <c r="Z109" i="4" s="1"/>
  <c r="AC109" i="4" s="1"/>
  <c r="AA61" i="4"/>
  <c r="Z61" i="4" s="1"/>
  <c r="AC61" i="4" s="1"/>
  <c r="AA39" i="4"/>
  <c r="Z39" i="4" s="1"/>
  <c r="AC39" i="4" s="1"/>
  <c r="AA29" i="4"/>
  <c r="Z29" i="4" s="1"/>
  <c r="AC29" i="4" s="1"/>
  <c r="AA21" i="4"/>
  <c r="Z21" i="4" s="1"/>
  <c r="AC21" i="4" s="1"/>
  <c r="AA32" i="4"/>
  <c r="Z32" i="4" s="1"/>
  <c r="AC32" i="4" s="1"/>
  <c r="AA117" i="4"/>
  <c r="Z117" i="4" s="1"/>
  <c r="AC117" i="4" s="1"/>
  <c r="AA103" i="4"/>
  <c r="Z103" i="4" s="1"/>
  <c r="AA93" i="4"/>
  <c r="Z93" i="4"/>
  <c r="AC93" i="4" s="1"/>
  <c r="AA69" i="4"/>
  <c r="Z69" i="4" s="1"/>
  <c r="AC69" i="4" s="1"/>
  <c r="AA53" i="4"/>
  <c r="Z53" i="4" s="1"/>
  <c r="AA36" i="4"/>
  <c r="Z36" i="4" s="1"/>
  <c r="AC36" i="4" s="1"/>
  <c r="AA20" i="4"/>
  <c r="Z20" i="4" s="1"/>
  <c r="AC20" i="4" s="1"/>
  <c r="AA57" i="4"/>
  <c r="Z57" i="4" s="1"/>
  <c r="AC57" i="4" s="1"/>
  <c r="AA115" i="4"/>
  <c r="Z115" i="4" s="1"/>
  <c r="AC115" i="4" s="1"/>
  <c r="AA99" i="4"/>
  <c r="Z99" i="4" s="1"/>
  <c r="AC99" i="4" s="1"/>
  <c r="AA91" i="4"/>
  <c r="Z91" i="4" s="1"/>
  <c r="AC91" i="4" s="1"/>
  <c r="AA77" i="4"/>
  <c r="Z77" i="4" s="1"/>
  <c r="AC77" i="4" s="1"/>
  <c r="AA67" i="4"/>
  <c r="Z67" i="4" s="1"/>
  <c r="AC67" i="4" s="1"/>
  <c r="AA60" i="4"/>
  <c r="AA51" i="4"/>
  <c r="Z51" i="4" s="1"/>
  <c r="AC51" i="4" s="1"/>
  <c r="AA47" i="4"/>
  <c r="Z47" i="4" s="1"/>
  <c r="AC47" i="4" s="1"/>
  <c r="AA35" i="4"/>
  <c r="Z35" i="4" s="1"/>
  <c r="AC35" i="4" s="1"/>
  <c r="AA28" i="4"/>
  <c r="Z28" i="4" s="1"/>
  <c r="AC28" i="4" s="1"/>
  <c r="AA19" i="4"/>
  <c r="Z19" i="4" s="1"/>
  <c r="AC19" i="4" s="1"/>
  <c r="AA112" i="4"/>
  <c r="Z112" i="4" s="1"/>
  <c r="AC112" i="4" s="1"/>
  <c r="AA48" i="4"/>
  <c r="Z48" i="4" s="1"/>
  <c r="AC48" i="4" s="1"/>
  <c r="AA108" i="4"/>
  <c r="AA86" i="4"/>
  <c r="AA74" i="4"/>
  <c r="AA73" i="4" s="1"/>
  <c r="Z73" i="4" s="1"/>
  <c r="AC73" i="4" s="1"/>
  <c r="AA66" i="4"/>
  <c r="AA58" i="4"/>
  <c r="AA50" i="4"/>
  <c r="AA42" i="4"/>
  <c r="Z42" i="4" s="1"/>
  <c r="AC42" i="4" s="1"/>
  <c r="AA34" i="4"/>
  <c r="Z34" i="4" s="1"/>
  <c r="AC34" i="4" s="1"/>
  <c r="AA26" i="4"/>
  <c r="Z26" i="4" s="1"/>
  <c r="AC26" i="4" s="1"/>
  <c r="AA18" i="4"/>
  <c r="Z18" i="4" s="1"/>
  <c r="AC18" i="4" s="1"/>
  <c r="AA16" i="4"/>
  <c r="Z16" i="4" s="1"/>
  <c r="AC16" i="4" s="1"/>
  <c r="AA49" i="4" l="1"/>
  <c r="Z49" i="4" s="1"/>
  <c r="AC49" i="4" s="1"/>
  <c r="AA85" i="4"/>
  <c r="AA84" i="4" s="1"/>
  <c r="AA107" i="4"/>
  <c r="Z74" i="4"/>
  <c r="AC74" i="4" s="1"/>
  <c r="AA59" i="4"/>
  <c r="Z59" i="4" s="1"/>
  <c r="AC59" i="4" s="1"/>
  <c r="AA110" i="4"/>
  <c r="AA89" i="4"/>
  <c r="AC97" i="4"/>
  <c r="AC96" i="4" s="1"/>
  <c r="AC95" i="4" s="1"/>
  <c r="AA116" i="4"/>
  <c r="Z116" i="4" s="1"/>
  <c r="AC116" i="4" s="1"/>
  <c r="AA52" i="4"/>
  <c r="AA65" i="4"/>
  <c r="Z65" i="4" s="1"/>
  <c r="AC65" i="4" s="1"/>
  <c r="AC92" i="4"/>
  <c r="AA92" i="4"/>
  <c r="AC68" i="4"/>
  <c r="Z86" i="4"/>
  <c r="AC86" i="4" s="1"/>
  <c r="AC85" i="4" s="1"/>
  <c r="AC84" i="4" s="1"/>
  <c r="AA68" i="4"/>
  <c r="AA30" i="4"/>
  <c r="Z30" i="4" s="1"/>
  <c r="AC30" i="4" s="1"/>
  <c r="AA56" i="4"/>
  <c r="Z56" i="4" s="1"/>
  <c r="AA97" i="4"/>
  <c r="AA96" i="4" s="1"/>
  <c r="AA95" i="4" s="1"/>
  <c r="AA102" i="4"/>
  <c r="Z60" i="4"/>
  <c r="AC60" i="4" s="1"/>
  <c r="AA46" i="4"/>
  <c r="Z46" i="4" s="1"/>
  <c r="AC46" i="4" s="1"/>
  <c r="Z111" i="4"/>
  <c r="AC53" i="4"/>
  <c r="Z113" i="4"/>
  <c r="AC114" i="4"/>
  <c r="AC113" i="4" s="1"/>
  <c r="AC103" i="4"/>
  <c r="AC102" i="4" s="1"/>
  <c r="Z102" i="4"/>
  <c r="AA23" i="4"/>
  <c r="Z23" i="4" s="1"/>
  <c r="AC23" i="4" s="1"/>
  <c r="Z58" i="4"/>
  <c r="AC58" i="4" s="1"/>
  <c r="Z108" i="4"/>
  <c r="AA72" i="4"/>
  <c r="AA76" i="4"/>
  <c r="Z68" i="4"/>
  <c r="AA38" i="4"/>
  <c r="Z54" i="4"/>
  <c r="AC54" i="4" s="1"/>
  <c r="Z90" i="4"/>
  <c r="AA113" i="4"/>
  <c r="Z66" i="4"/>
  <c r="AC66" i="4" s="1"/>
  <c r="AA62" i="4"/>
  <c r="Z62" i="4" s="1"/>
  <c r="AC62" i="4" s="1"/>
  <c r="Z97" i="4"/>
  <c r="Z96" i="4" s="1"/>
  <c r="Z95" i="4" s="1"/>
  <c r="Z120" i="4"/>
  <c r="Z50" i="4"/>
  <c r="AC50" i="4" s="1"/>
  <c r="Z92" i="4"/>
  <c r="AA106" i="4" l="1"/>
  <c r="AA101" i="4" s="1"/>
  <c r="AA88" i="4"/>
  <c r="AA83" i="4" s="1"/>
  <c r="AA82" i="4" s="1"/>
  <c r="AA81" i="4" s="1"/>
  <c r="AA80" i="4" s="1"/>
  <c r="Z80" i="4" s="1"/>
  <c r="AC80" i="4" s="1"/>
  <c r="AA27" i="4"/>
  <c r="Z27" i="4" s="1"/>
  <c r="AC27" i="4" s="1"/>
  <c r="Z85" i="4"/>
  <c r="Z84" i="4" s="1"/>
  <c r="AA45" i="4"/>
  <c r="Z45" i="4" s="1"/>
  <c r="AC45" i="4" s="1"/>
  <c r="AC111" i="4"/>
  <c r="AC110" i="4" s="1"/>
  <c r="Z110" i="4"/>
  <c r="AA15" i="4"/>
  <c r="Z15" i="4" s="1"/>
  <c r="AC15" i="4" s="1"/>
  <c r="AC120" i="4"/>
  <c r="AC119" i="4" s="1"/>
  <c r="Z119" i="4"/>
  <c r="AA75" i="4"/>
  <c r="Z75" i="4" s="1"/>
  <c r="AC75" i="4" s="1"/>
  <c r="Z76" i="4"/>
  <c r="AC76" i="4" s="1"/>
  <c r="Z72" i="4"/>
  <c r="AC72" i="4" s="1"/>
  <c r="AA71" i="4"/>
  <c r="Z71" i="4" s="1"/>
  <c r="AC71" i="4" s="1"/>
  <c r="Z107" i="4"/>
  <c r="AC108" i="4"/>
  <c r="AC107" i="4" s="1"/>
  <c r="AC56" i="4"/>
  <c r="AC55" i="4" s="1"/>
  <c r="Z55" i="4"/>
  <c r="AC52" i="4"/>
  <c r="AA37" i="4"/>
  <c r="Z37" i="4" s="1"/>
  <c r="AC37" i="4" s="1"/>
  <c r="Z38" i="4"/>
  <c r="AC38" i="4" s="1"/>
  <c r="Z89" i="4"/>
  <c r="Z88" i="4" s="1"/>
  <c r="AC90" i="4"/>
  <c r="AC89" i="4" s="1"/>
  <c r="AC88" i="4" s="1"/>
  <c r="AC83" i="4" s="1"/>
  <c r="AC82" i="4" s="1"/>
  <c r="AC81" i="4" s="1"/>
  <c r="Z52" i="4"/>
  <c r="AA55" i="4"/>
  <c r="Z101" i="4" l="1"/>
  <c r="AC101" i="4" s="1"/>
  <c r="AC100" i="4" s="1"/>
  <c r="AA100" i="4"/>
  <c r="Z83" i="4"/>
  <c r="Z82" i="4" s="1"/>
  <c r="Z81" i="4" s="1"/>
  <c r="AC106" i="4"/>
  <c r="Z106" i="4"/>
  <c r="AA44" i="4"/>
  <c r="Z44" i="4" s="1"/>
  <c r="AC44" i="4" s="1"/>
  <c r="AA14" i="4"/>
  <c r="Z14" i="4" s="1"/>
  <c r="AC14" i="4" s="1"/>
  <c r="Z100" i="4" l="1"/>
  <c r="AA43" i="4"/>
  <c r="Z43" i="4" s="1"/>
  <c r="AC43" i="4" s="1"/>
  <c r="AA13" i="4"/>
  <c r="Z13" i="4" s="1"/>
  <c r="AC13" i="4" s="1"/>
  <c r="AA12" i="4" l="1"/>
  <c r="Z12" i="4" l="1"/>
  <c r="AC12" i="4" s="1"/>
  <c r="AA11" i="4"/>
  <c r="AA10" i="4" l="1"/>
  <c r="Z11" i="4"/>
  <c r="AC11" i="4" s="1"/>
  <c r="AA122" i="4" l="1"/>
  <c r="Z10" i="4"/>
  <c r="AC10" i="4" l="1"/>
  <c r="Z122" i="4"/>
  <c r="AC122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tc={25CC45FC-ADD9-44DA-86AD-A3115EB16C58}</author>
    <author>marce</author>
  </authors>
  <commentList>
    <comment ref="Y62" authorId="0" shapeId="0" xr:uid="{00000000-0006-0000-0200-000001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En la planilla esta acumlando sin tener en cuenta el CRP 659</t>
      </text>
    </comment>
    <comment ref="R125" authorId="1" shapeId="0" xr:uid="{00000000-0006-0000-0200-000005000000}">
      <text>
        <r>
          <rPr>
            <b/>
            <sz val="9"/>
            <color indexed="81"/>
            <rFont val="Tahoma"/>
            <family val="2"/>
          </rPr>
          <t>Valor de liquidaciones de CDP acumulado</t>
        </r>
      </text>
    </comment>
  </commentList>
</comments>
</file>

<file path=xl/sharedStrings.xml><?xml version="1.0" encoding="utf-8"?>
<sst xmlns="http://schemas.openxmlformats.org/spreadsheetml/2006/main" count="890" uniqueCount="319">
  <si>
    <t>Código
1</t>
  </si>
  <si>
    <t>Apropiación Inicial
3</t>
  </si>
  <si>
    <t>Modificaciones
Mes
4</t>
  </si>
  <si>
    <t>Presupuestales
Acumulados
5</t>
  </si>
  <si>
    <t>Apropiación
Vigente
6 = (3
+ 5)</t>
  </si>
  <si>
    <t>Apropiaciones
Suspendidas
7</t>
  </si>
  <si>
    <t>Apropiación
Disponible
8 =
(6 - 7)</t>
  </si>
  <si>
    <t>Compromisos 
Mes
9</t>
  </si>
  <si>
    <t>Compromisos
Acumulados
10</t>
  </si>
  <si>
    <t>% Ejec.
11 = (10
/ 8)</t>
  </si>
  <si>
    <t>Giros Mes
12</t>
  </si>
  <si>
    <t>Giros
Acumulados
13</t>
  </si>
  <si>
    <t>% Giros
14 =
(13 / 8)</t>
  </si>
  <si>
    <t>GASTOS</t>
  </si>
  <si>
    <t>INVERSIÓN</t>
  </si>
  <si>
    <t>42</t>
  </si>
  <si>
    <t>421</t>
  </si>
  <si>
    <t>FUNCIONAMIENTO</t>
  </si>
  <si>
    <t>4211</t>
  </si>
  <si>
    <t>GASTOS DE PERSONAL</t>
  </si>
  <si>
    <t>421101</t>
  </si>
  <si>
    <t>PLANTA DE PERSONAL PERMANENTE</t>
  </si>
  <si>
    <t>42110101</t>
  </si>
  <si>
    <t>42110101001</t>
  </si>
  <si>
    <t>FACTORES SALARIALES COMUNES</t>
  </si>
  <si>
    <t>4211010100101</t>
  </si>
  <si>
    <t>4211010100102</t>
  </si>
  <si>
    <t>4211010100103</t>
  </si>
  <si>
    <t>4211010100104</t>
  </si>
  <si>
    <t>4211010100105</t>
  </si>
  <si>
    <t>4211010100106</t>
  </si>
  <si>
    <t>4211010100107</t>
  </si>
  <si>
    <t>4211010100108</t>
  </si>
  <si>
    <t>PRESTACIONES SOCIALES</t>
  </si>
  <si>
    <t>421101010010801</t>
  </si>
  <si>
    <t>421101010010802</t>
  </si>
  <si>
    <t>4211010100109</t>
  </si>
  <si>
    <t>42110102</t>
  </si>
  <si>
    <t>42110102001</t>
  </si>
  <si>
    <t>42110102002</t>
  </si>
  <si>
    <t>42110102003</t>
  </si>
  <si>
    <t>APORTES DE CESANTIAS</t>
  </si>
  <si>
    <t>42110102003.</t>
  </si>
  <si>
    <t>42110102003C</t>
  </si>
  <si>
    <t>42110102004</t>
  </si>
  <si>
    <t>42110102005</t>
  </si>
  <si>
    <t>42110102006</t>
  </si>
  <si>
    <t>42110102007</t>
  </si>
  <si>
    <t>42110103</t>
  </si>
  <si>
    <t>42110103001</t>
  </si>
  <si>
    <t>4211010300102</t>
  </si>
  <si>
    <t>4211010300103</t>
  </si>
  <si>
    <t>4212</t>
  </si>
  <si>
    <t>421202</t>
  </si>
  <si>
    <t>42120201</t>
  </si>
  <si>
    <t>MATERIALES Y SUMINISTROS</t>
  </si>
  <si>
    <t>42120201002</t>
  </si>
  <si>
    <t>42120201003</t>
  </si>
  <si>
    <t>42120201003.</t>
  </si>
  <si>
    <t>42120201003C</t>
  </si>
  <si>
    <t>42120202</t>
  </si>
  <si>
    <t>ADQUISICIÓN DE SERVICIOS</t>
  </si>
  <si>
    <t>42120202006</t>
  </si>
  <si>
    <t>42120202006.</t>
  </si>
  <si>
    <t>42120202006C</t>
  </si>
  <si>
    <t>42120202007</t>
  </si>
  <si>
    <t>42120202007.</t>
  </si>
  <si>
    <t>42120202007C</t>
  </si>
  <si>
    <t>42120202008</t>
  </si>
  <si>
    <t>42120202008.</t>
  </si>
  <si>
    <t>42120202008C</t>
  </si>
  <si>
    <t>42120202009</t>
  </si>
  <si>
    <t>42120202009.</t>
  </si>
  <si>
    <t>42120202009C</t>
  </si>
  <si>
    <t>4213</t>
  </si>
  <si>
    <t>TRANSFERENCIAS CORRIENTES</t>
  </si>
  <si>
    <t>421313</t>
  </si>
  <si>
    <t>SENTENCIAS Y CONCILIACIONES</t>
  </si>
  <si>
    <t>42131301</t>
  </si>
  <si>
    <t>FALLOS NACIONALES</t>
  </si>
  <si>
    <t>42131301001</t>
  </si>
  <si>
    <t>4218</t>
  </si>
  <si>
    <t>421801</t>
  </si>
  <si>
    <t>IMPUESTOS</t>
  </si>
  <si>
    <t>42180101</t>
  </si>
  <si>
    <t>42180151</t>
  </si>
  <si>
    <t>42180154</t>
  </si>
  <si>
    <t>423</t>
  </si>
  <si>
    <t>42301</t>
  </si>
  <si>
    <t>DIRECTA</t>
  </si>
  <si>
    <t>424502</t>
  </si>
  <si>
    <t>42120201002C</t>
  </si>
  <si>
    <t>43</t>
  </si>
  <si>
    <t>424</t>
  </si>
  <si>
    <t>GASTOS DE OPERACIÓN COMERCIAL</t>
  </si>
  <si>
    <t>4245</t>
  </si>
  <si>
    <t>42110103069</t>
  </si>
  <si>
    <t>TOTAL GASTOS + DISPONIBILIDAD FINAL</t>
  </si>
  <si>
    <t>Nombre  2</t>
  </si>
  <si>
    <t>FACTORES CONSTITUTIVOS DE SALARIO</t>
  </si>
  <si>
    <t>CONTRIBUCIONES INHERENTES A LA NÓMINA</t>
  </si>
  <si>
    <t>ADQUISICIÓN DE BIENES Y SERVICIOS</t>
  </si>
  <si>
    <t>ADQUISICIONES DIFERENTES DE ACTIVOS</t>
  </si>
  <si>
    <t>GASTOS DE COMERCIALIZACIÓN Y PRODUCCIÓN</t>
  </si>
  <si>
    <t>DISPONIBILIDAD FINAL</t>
  </si>
  <si>
    <t>EMPRESA DE RENOVACIÓN Y DESARROLLO Y URBANO DE BOGOTÁ D.C.</t>
  </si>
  <si>
    <t>Nombre 
 2</t>
  </si>
  <si>
    <t>Apropiación
Vigente
6 = (3 + 5)</t>
  </si>
  <si>
    <t>Apropiación
Disponible
8 = (6 - 7)</t>
  </si>
  <si>
    <t>% Ejec.
11 = 
(10 / 8)</t>
  </si>
  <si>
    <t>FONDO</t>
  </si>
  <si>
    <t>F100</t>
  </si>
  <si>
    <t>F200</t>
  </si>
  <si>
    <t>VERIFICACIÓN
CRP- GIROS
SALDO CRP</t>
  </si>
  <si>
    <t>VERIFICACIÓN
GIROS</t>
  </si>
  <si>
    <t>VERIFICACIÓN 
CRP</t>
  </si>
  <si>
    <t>SALDOS
CDP</t>
  </si>
  <si>
    <t>DISPONIBILIDAD ACUMULADA
TD BOGDATA CDP</t>
  </si>
  <si>
    <t xml:space="preserve">DISPONIBILIDAD DEL MES
</t>
  </si>
  <si>
    <t>CDP MES</t>
  </si>
  <si>
    <t>LIQUIDACIONES MES CDP</t>
  </si>
  <si>
    <t>DIFERENCIA CDP</t>
  </si>
  <si>
    <t>CRP ACUMULADO
TD BOGDATA CRP</t>
  </si>
  <si>
    <t>CRP MES</t>
  </si>
  <si>
    <t>LIQUIDACIONES MES CRP</t>
  </si>
  <si>
    <t xml:space="preserve">DISPONIBILIDAD ACUMULADA
MES ANTERIOR
</t>
  </si>
  <si>
    <t>CRP ACUMULADO MES ANTERIOR</t>
  </si>
  <si>
    <t xml:space="preserve">CRP MES
</t>
  </si>
  <si>
    <t>GIROS ACUMULADOS MES ANTERIOR</t>
  </si>
  <si>
    <t xml:space="preserve">GIROS ACUMULADOS
</t>
  </si>
  <si>
    <t xml:space="preserve">GIROS MES 
CONTROL DE GIROS
ACUMULADO MENSUAL
</t>
  </si>
  <si>
    <t>42120202010</t>
  </si>
  <si>
    <t>42110103190</t>
  </si>
  <si>
    <t>SUELDO BÁSICO</t>
  </si>
  <si>
    <t>HORAS EXTRAS, DOMINICALES, FESTIVOS Y RECARGOS</t>
  </si>
  <si>
    <t>GASTOS DE REPRESENTACIÓN</t>
  </si>
  <si>
    <t>SUBSIDIO DE ALIMENTACIÓN</t>
  </si>
  <si>
    <t>AUXILIO DE TRANSPORTE</t>
  </si>
  <si>
    <t>PRIMA DE SERVICIO</t>
  </si>
  <si>
    <t>BONIFICACIÓN POR SERVICIOS PRESTADOS</t>
  </si>
  <si>
    <t>PRIMA DE NAVIDAD</t>
  </si>
  <si>
    <t>PRIMA DE VACACIONES</t>
  </si>
  <si>
    <t>PRIMA TÉCNICA SALARIAL</t>
  </si>
  <si>
    <t>APORTES A LA SEGURIDAD SOCIAL EN PENSIONES</t>
  </si>
  <si>
    <t>APORTES A LA SEGURIDAD SOCIAL EN SALUD</t>
  </si>
  <si>
    <t>APORTES DE CESANTIAS - VIGENCIA</t>
  </si>
  <si>
    <t>APORTES CESANTÍAS - CXP</t>
  </si>
  <si>
    <t>APORTES A CAJAS DE COMPENSACIÓN FAMILIAR</t>
  </si>
  <si>
    <t>APORTES GENERALES AL SISTEMA DE RIESGOS LABORAL
ES</t>
  </si>
  <si>
    <t>APORTES AL ICBF</t>
  </si>
  <si>
    <t>APORTES AL SENA</t>
  </si>
  <si>
    <t>REMUNERACIONES NO CONSTITUTIVAS DE FACTOR SAL
ARIAL</t>
  </si>
  <si>
    <t>INDEMNIZACIÓN POR VACACIONES</t>
  </si>
  <si>
    <t>BONIFICACIÓN ESPECIAL DE RECREACIÓN</t>
  </si>
  <si>
    <t>APOYO DE SOSTENIMIENTO APRENDICES SENA</t>
  </si>
  <si>
    <t>APOYO DE SOSTENIMIENTO PRÁCTICAS LABORALES</t>
  </si>
  <si>
    <t>PRODUCTOS ALIMENTICIOS, BEBIDAS Y TABACO; TEXTILE
S, PRENDAS DE VESTIR Y PRODUCTOS DE CUERO</t>
  </si>
  <si>
    <t>42120201002.</t>
  </si>
  <si>
    <t>PRODUCTOS ALIMENTICIOS, BEBIDAS Y TABACO; TEXTILES, PRENDAS DE VESTIR Y PRODUCTOS DE CUERO</t>
  </si>
  <si>
    <t>PRODUCTOS ALIMENTICIOS, BEBIDAS Y TABACO; TEXTILE
S, PRENDAS DE VESTIR Y PRODUCTOS DE CUERO CXP</t>
  </si>
  <si>
    <t>OTROS BIENES TRANSPORTABLES (EXCEPTO PRODUCT
OS METÁLICOS, MAQUINARIA Y EQUIPO)</t>
  </si>
  <si>
    <t>OTROS BIENES TRANSPORTABLES (EXCEPTO PRODUCT
OS METÁLICOS, MAQUINARIA Y EQUIPO) - VIGENCIA</t>
  </si>
  <si>
    <t>OTROS BIENES TRANSPORTABLES (EXCEPTO PRODUCT
OS METÁLICOS, MAQUINARIA Y EQUIPO) - CXP</t>
  </si>
  <si>
    <t>SERVICIOS DE ALOJAMIENTO; SERVICIOS DE SUMINISTR
O DE COMIDAS Y BEBIDAS; SERVICIOS DE TRANSPORTE; 
Y S</t>
  </si>
  <si>
    <t>SERVICIOS FINANCIEROS Y SERVICIOS CONEXOS, SERVI
CIOS INMOBILIARIOS Y SERVICIOS DE LEASING</t>
  </si>
  <si>
    <t>SERVICIOS FINANCIEROS Y SERVICIOS CONEXOS, SERVI
CIOS INMOBILIARIOS Y SERVICIOS DE LEASING - VIGENCIA</t>
  </si>
  <si>
    <t>SERVICIOS FINANCIEROS Y SERVICIOS CONEXOS, SERVI
CIOS INMOBILIARIOS Y SERVICIOS DE LEASING -CXP</t>
  </si>
  <si>
    <t>SERVICIOS PRESTADOS A LAS EMPRESAS Y SERVICIOS D
E PRODUCCIÓN</t>
  </si>
  <si>
    <t>SERVICIOS PRESTADOS A LAS EMPRESAS Y SERVICIOS D
E PRODUCCIÓN - VIGENCIA</t>
  </si>
  <si>
    <t>SERVICIOS PRESTADOS A LAS EMPRESAS Y SERVICIOS D
E PRODUCCIÓN - CXP</t>
  </si>
  <si>
    <t>SERVICIOS PARA LA COMUNIDAD, SOCIALES Y PERSONAL
ES</t>
  </si>
  <si>
    <t>SERVICIOS PARA LA COMUNIDAD, SOCIALES Y PERSONAL
ES - VIGENCIA</t>
  </si>
  <si>
    <t>SERVICIOS PARA LA COMUNIDAD, SOCIALES Y PERSONAL
ES - CXP</t>
  </si>
  <si>
    <t>VIÁTICOS DE LOS FUNCIONARIOS EN COMISIÓN</t>
  </si>
  <si>
    <t>SENTENCIAS</t>
  </si>
  <si>
    <t>GASTOS POR TRIBUTOS, MULTAS, SANCIONES E INTERES
ES</t>
  </si>
  <si>
    <t>IMPUESTO SOBRE LA RENTA Y COMPLEMENTARIOS</t>
  </si>
  <si>
    <t>IMPUESTO SOBRE VEHÍCULOS AUTOMOTORES</t>
  </si>
  <si>
    <t>IMPUESTO DE INDUSTRIA Y COMERCIO</t>
  </si>
  <si>
    <t>424501</t>
  </si>
  <si>
    <t>Materiales y suministros</t>
  </si>
  <si>
    <t>42450103</t>
  </si>
  <si>
    <t>Otros bienes transportables (excepto productos metálicos, maquinaria y equipo)</t>
  </si>
  <si>
    <t>42450205</t>
  </si>
  <si>
    <t>Servicios de la construcción</t>
  </si>
  <si>
    <t>42450206</t>
  </si>
  <si>
    <t>Servicios de alojamiento; servicios de suministro de comidas y bebidas; servicios de transporte; y servicios de distribución de electricidad, gas y agua</t>
  </si>
  <si>
    <t>42450207</t>
  </si>
  <si>
    <t>Servicios financieros y servicios conexos, servicios inmobiliarios y servicios de leasing</t>
  </si>
  <si>
    <t>42450208.</t>
  </si>
  <si>
    <t>42450208C</t>
  </si>
  <si>
    <t>Servicios prestados a las empresas y servicios de producción - CXP</t>
  </si>
  <si>
    <t>42450209</t>
  </si>
  <si>
    <t>SERVICIOS PARA LA COMUNIDAD, SOCIALES Y PERSONALES</t>
  </si>
  <si>
    <t>No ejecuta</t>
  </si>
  <si>
    <t>Si ejecuta</t>
  </si>
  <si>
    <t>Ejecuta</t>
  </si>
  <si>
    <t>42450208</t>
  </si>
  <si>
    <t>SERVICIOS PRESTADOS A LAS EMPRESAS Y SERVICIOS DE PRODUCCIÓN</t>
  </si>
  <si>
    <t>42120201004</t>
  </si>
  <si>
    <t>PRODUCTOS METÁLICOS Y
PAQUETES DE SOFTWARE</t>
  </si>
  <si>
    <t>42120201004.</t>
  </si>
  <si>
    <t>Productos Metálicos Y Paquetes De
Software</t>
  </si>
  <si>
    <t>Código</t>
  </si>
  <si>
    <t>Nombre</t>
  </si>
  <si>
    <t>Apropiación Inicial</t>
  </si>
  <si>
    <t>Modificaciones</t>
  </si>
  <si>
    <t xml:space="preserve"> Presupuestales</t>
  </si>
  <si>
    <t>Apropiación</t>
  </si>
  <si>
    <t xml:space="preserve">Apropiaciones </t>
  </si>
  <si>
    <t>Compromisos Mes</t>
  </si>
  <si>
    <t>Compromisos</t>
  </si>
  <si>
    <t>% Ejec.</t>
  </si>
  <si>
    <t>Giros Mes</t>
  </si>
  <si>
    <t>Giros</t>
  </si>
  <si>
    <t>% Giros</t>
  </si>
  <si>
    <t xml:space="preserve">Mes </t>
  </si>
  <si>
    <t>Acumulado</t>
  </si>
  <si>
    <t>Vigente</t>
  </si>
  <si>
    <t>Suspendidas</t>
  </si>
  <si>
    <t>Disponible</t>
  </si>
  <si>
    <t>Acumulados</t>
  </si>
  <si>
    <t>6 = (3 + 5)</t>
  </si>
  <si>
    <t>8 = (6 - 7)</t>
  </si>
  <si>
    <t>11 = (10 / 8)</t>
  </si>
  <si>
    <t>14 = (13 / 8)</t>
  </si>
  <si>
    <t>APORTES GENERALES AL SISTEMA DE RIESGOS LABORALES</t>
  </si>
  <si>
    <t>REMUNERACIONES NO CONSTITUTIVAS DE FACTOR SAL ARIAL</t>
  </si>
  <si>
    <t>PRODUCTOS ALIMENTICIOS, BEBIDAS Y TABACO; TEXTILE S, PRENDAS DE VESTIR Y PRODUCTOS DE CUERO</t>
  </si>
  <si>
    <t>OTROS BIENES TRANSPORTABLES (EXCEPTO PRODUCT OS METÁLICOS, MAQUINARIA Y EQUIPO)</t>
  </si>
  <si>
    <t>SERVICIOS DE ALOJAMIENTO; SERVICIOS DE SUMINISTR O DE COMIDAS Y BEBIDAS; SERVICIOS DE TRANSPORTE;  Y S</t>
  </si>
  <si>
    <t>SERVICIOS FINANCIEROS Y SERVICIOS CONEXOS, SERVI CIOS INMOBILIARIOS Y SERVICIOS DE LEASING</t>
  </si>
  <si>
    <t>SERVICIOS PRESTADOS A LAS EMPRESAS Y SERVICIOS D E PRODUCCIÓN</t>
  </si>
  <si>
    <t>GASTOS POR TRIBUTOS, MULTAS, SANCIONES E INTERES ES</t>
  </si>
  <si>
    <t xml:space="preserve">Servicios prestados a las empresas y servicios de producción </t>
  </si>
  <si>
    <t>DIFERENCIA CRP</t>
  </si>
  <si>
    <t>CUENTAS POR PAGAR INVERSIÓN</t>
  </si>
  <si>
    <t>Ejecución Presupuestal de Gastos e Inversión          Periodo 202311</t>
  </si>
  <si>
    <t>42120202010C</t>
  </si>
  <si>
    <t>Viáticos De Los Funcionarios En Comisión
Cxp</t>
  </si>
  <si>
    <t>42450103C</t>
  </si>
  <si>
    <t>Otros Bienes Transportables (Excepto
Productos Metálicos, Maquinaria Y Equipo)
Cxp</t>
  </si>
  <si>
    <t>42450206C</t>
  </si>
  <si>
    <t>Servicios De Alojamiento; Servicios De
Suministro De Comidas Y Bebidas; Serv.
De Transporte Cxp</t>
  </si>
  <si>
    <t>VIÁTICOS DE LOS FUNCIONARIOS EN COMISIÓN CXP</t>
  </si>
  <si>
    <t>Javier Suárez Pedraza</t>
  </si>
  <si>
    <t xml:space="preserve">GESTOR SENIOR PRESUPUESTO </t>
  </si>
  <si>
    <t>EMPRESA DE RENOVACIÓN Y DESARROLLO Y URBANO DE BOGOTÁ D.C. - RENOBO</t>
  </si>
  <si>
    <t>4230117</t>
  </si>
  <si>
    <t>Bogotá Camina Segura</t>
  </si>
  <si>
    <t>423011740</t>
  </si>
  <si>
    <t>Vivienda, Ciudad y Territorio</t>
  </si>
  <si>
    <t>42301174001</t>
  </si>
  <si>
    <t>Acceso a Soluciones de Vivienda</t>
  </si>
  <si>
    <t>423011740012024004701000</t>
  </si>
  <si>
    <t>Implementación de un portafolio de Vivienda para Bogotá D.C.</t>
  </si>
  <si>
    <t>42301174002</t>
  </si>
  <si>
    <t>Ordenamiento Territorial y Desarrollo Urbano</t>
  </si>
  <si>
    <t>423011740022020009001000</t>
  </si>
  <si>
    <t>Desarrollo de Proyectos y Gestión Inmobiliaria Bogotá</t>
  </si>
  <si>
    <t>423011740022024000901000</t>
  </si>
  <si>
    <t>Formulación, Gestión y Estructuración de Proyectos de Desarrollo, Revitalización o Renovación Urbana Bogotá D.C.</t>
  </si>
  <si>
    <t>423011745</t>
  </si>
  <si>
    <t>Gobierno Territorial</t>
  </si>
  <si>
    <t>42301174599</t>
  </si>
  <si>
    <t>Fortalecimiento a la  Gestión y Dirección de la Administración Pública Territorial</t>
  </si>
  <si>
    <t>423011745992024000301000</t>
  </si>
  <si>
    <t>Fortalecimiento Institucional RenoBo Bogotá D.C.</t>
  </si>
  <si>
    <t>Productos Metálicos, Maquinaria Y Equipo</t>
  </si>
  <si>
    <t>42450104</t>
  </si>
  <si>
    <t>Christian Andres Palencia Hernandez</t>
  </si>
  <si>
    <t>DIRECTOR FINANCIERO</t>
  </si>
  <si>
    <t>42303</t>
  </si>
  <si>
    <t>423011740022024000901000C</t>
  </si>
  <si>
    <t>Formulación, Gestión Y Estructuración De
Proyectos De Desarrollo, Revitalización O
Renovación - Cxp</t>
  </si>
  <si>
    <t>423011740022024000901000.</t>
  </si>
  <si>
    <t>423011740022020009001000.</t>
  </si>
  <si>
    <t>Desarrollo De Proyectos Y Gestión
Inmobiliaria Bogotá - Vigencia</t>
  </si>
  <si>
    <t>423011740022020009001000C</t>
  </si>
  <si>
    <t>Desarrollo De Proyectos Y Gestión
Inmobiliaria Bogotá - Cxp</t>
  </si>
  <si>
    <t>Formulación, Gestión Y Estructuración De
Proyectos De Desarrollo, Revitalización O
Renov. - Vigencia</t>
  </si>
  <si>
    <t>423011745992024000301000.</t>
  </si>
  <si>
    <t>Fortalecimiento Institucional Renobo Bogotá
D.C. - Vigencia</t>
  </si>
  <si>
    <t>423011745992024000301000C</t>
  </si>
  <si>
    <t>Fortalecimiento Institucional Renobo Bogotá
D.C. - Cxp</t>
  </si>
  <si>
    <t>42120202010.</t>
  </si>
  <si>
    <t>Viáticos De Los Funcionarios En Comisión -
Vigencia</t>
  </si>
  <si>
    <t>42450205.</t>
  </si>
  <si>
    <t>Construcción Y Servicios De La
Construcción - Vigencia</t>
  </si>
  <si>
    <t>42450205C</t>
  </si>
  <si>
    <t>Construcción Y Servicios De La
Construcción - Cxp</t>
  </si>
  <si>
    <t>42450206.</t>
  </si>
  <si>
    <t>Comercio Y Distribución; Alojamiento;
Servicios De Suministro De Comidas Y
Bebidas - Vigencia</t>
  </si>
  <si>
    <t>42450207C</t>
  </si>
  <si>
    <t>Servicios Financieros Y Servicios Conexos,
Servicios Inmobiliarios Y Servicios De
Leasing - Cxp</t>
  </si>
  <si>
    <t>42450209C</t>
  </si>
  <si>
    <t>Servicios Para La Comunidad, Sociales Y
Personales - Cxp</t>
  </si>
  <si>
    <t>42120201004C</t>
  </si>
  <si>
    <t>Productos Metalicos, Maquinaria Y Equipo</t>
  </si>
  <si>
    <t>423011740012024004701000.</t>
  </si>
  <si>
    <t>Implementación De Un Portafolio De
Vivienda Para Bogotá D.C. - Vigencia</t>
  </si>
  <si>
    <t>423011740012024004701000C</t>
  </si>
  <si>
    <t>Implementación De Un Portafolio De
Vivienda Para Bogotá D.C. - Cxp</t>
  </si>
  <si>
    <t>APROPIACION INICIAL</t>
  </si>
  <si>
    <t>APROPIACION FINAL</t>
  </si>
  <si>
    <t>COMPROMISOS</t>
  </si>
  <si>
    <t>EJECUCION / OBLIGACIONES</t>
  </si>
  <si>
    <t>VIGENCIA</t>
  </si>
  <si>
    <t>RECURSOS</t>
  </si>
  <si>
    <t>Funcionamiento</t>
  </si>
  <si>
    <t>Inversión</t>
  </si>
  <si>
    <t>Operación Comercial</t>
  </si>
  <si>
    <t>CXP</t>
  </si>
  <si>
    <t xml:space="preserve">42450207 </t>
  </si>
  <si>
    <t>CDP ACUMULADO MES ANTERIOR FORMULA = Q10</t>
  </si>
  <si>
    <t>CRP ACUMULADO MES ANTERIOR FORMULA = V10</t>
  </si>
  <si>
    <t>GIROS ACUMULADOS MES ANTERIOR FORMULA =Z10</t>
  </si>
  <si>
    <t>Saldo Liquidaciones cierre financiero</t>
  </si>
  <si>
    <t>Ejecución Presupuestal de Gastos e Inversión          Periodo 202512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</si>
</sst>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_ ;[Red]\-#,##0.00\ 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9"/>
      <color indexed="81"/>
      <name val="Tahoma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FF000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0">
    <xf numFmtId="0" fontId="0" fillId="0" borderId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5" fillId="0" borderId="0"/>
    <xf numFmtId="0" fontId="5" fillId="0" borderId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</cellStyleXfs>
  <cellXfs count="205">
    <xf numFmtId="0" fontId="0" fillId="0" borderId="0" xfId="0"/>
    <xf numFmtId="0" fontId="6" fillId="0" borderId="0" xfId="0" applyFont="1" applyAlignment="1">
      <alignment horizontal="center" vertical="center" wrapText="1"/>
    </xf>
    <xf numFmtId="0" fontId="0" fillId="2" borderId="0" xfId="0" applyFill="1"/>
    <xf numFmtId="0" fontId="6" fillId="0" borderId="0" xfId="0" applyFont="1"/>
    <xf numFmtId="0" fontId="10" fillId="0" borderId="0" xfId="0" applyFont="1"/>
    <xf numFmtId="1" fontId="10" fillId="0" borderId="0" xfId="0" applyNumberFormat="1" applyFont="1" applyAlignment="1">
      <alignment vertical="top" wrapText="1"/>
    </xf>
    <xf numFmtId="0" fontId="10" fillId="0" borderId="0" xfId="0" applyFont="1" applyAlignment="1">
      <alignment vertical="top" wrapText="1"/>
    </xf>
    <xf numFmtId="10" fontId="10" fillId="0" borderId="0" xfId="10" applyNumberFormat="1" applyFont="1" applyFill="1" applyProtection="1"/>
    <xf numFmtId="1" fontId="10" fillId="0" borderId="0" xfId="0" applyNumberFormat="1" applyFont="1" applyAlignment="1">
      <alignment vertical="top"/>
    </xf>
    <xf numFmtId="0" fontId="11" fillId="0" borderId="0" xfId="0" applyFont="1" applyAlignment="1">
      <alignment horizontal="center" vertical="top" wrapText="1"/>
    </xf>
    <xf numFmtId="0" fontId="11" fillId="0" borderId="0" xfId="7" applyFont="1" applyAlignment="1">
      <alignment horizontal="center" vertical="top"/>
    </xf>
    <xf numFmtId="164" fontId="11" fillId="0" borderId="0" xfId="0" applyNumberFormat="1" applyFont="1" applyAlignment="1">
      <alignment horizontal="center" vertical="top" wrapText="1"/>
    </xf>
    <xf numFmtId="10" fontId="11" fillId="0" borderId="0" xfId="10" applyNumberFormat="1" applyFont="1" applyFill="1" applyAlignment="1" applyProtection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0" xfId="7" applyFont="1" applyAlignment="1">
      <alignment horizontal="center" vertical="top" wrapText="1"/>
    </xf>
    <xf numFmtId="164" fontId="10" fillId="0" borderId="0" xfId="0" applyNumberFormat="1" applyFont="1" applyAlignment="1">
      <alignment horizontal="center" vertical="top" wrapText="1"/>
    </xf>
    <xf numFmtId="10" fontId="10" fillId="0" borderId="0" xfId="10" applyNumberFormat="1" applyFont="1" applyFill="1" applyAlignment="1" applyProtection="1">
      <alignment horizontal="center" vertical="top" wrapText="1"/>
    </xf>
    <xf numFmtId="1" fontId="10" fillId="0" borderId="0" xfId="0" applyNumberFormat="1" applyFont="1"/>
    <xf numFmtId="0" fontId="11" fillId="0" borderId="0" xfId="0" applyFont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165" fontId="10" fillId="0" borderId="0" xfId="0" applyNumberFormat="1" applyFont="1"/>
    <xf numFmtId="4" fontId="11" fillId="4" borderId="0" xfId="0" applyNumberFormat="1" applyFont="1" applyFill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4" fontId="11" fillId="0" borderId="0" xfId="0" applyNumberFormat="1" applyFont="1" applyAlignment="1">
      <alignment horizontal="right"/>
    </xf>
    <xf numFmtId="0" fontId="11" fillId="0" borderId="0" xfId="7" applyFont="1" applyAlignment="1" applyProtection="1">
      <alignment horizontal="center" vertical="top"/>
      <protection locked="0"/>
    </xf>
    <xf numFmtId="3" fontId="10" fillId="0" borderId="0" xfId="0" applyNumberFormat="1" applyFont="1"/>
    <xf numFmtId="164" fontId="10" fillId="0" borderId="0" xfId="3" applyFont="1" applyFill="1" applyAlignment="1" applyProtection="1">
      <alignment horizontal="center" vertical="top" wrapText="1"/>
    </xf>
    <xf numFmtId="4" fontId="0" fillId="0" borderId="0" xfId="0" applyNumberFormat="1"/>
    <xf numFmtId="4" fontId="10" fillId="0" borderId="0" xfId="0" applyNumberFormat="1" applyFont="1"/>
    <xf numFmtId="0" fontId="4" fillId="8" borderId="0" xfId="0" applyFont="1" applyFill="1"/>
    <xf numFmtId="0" fontId="6" fillId="8" borderId="0" xfId="0" applyFont="1" applyFill="1"/>
    <xf numFmtId="4" fontId="4" fillId="8" borderId="0" xfId="0" applyNumberFormat="1" applyFont="1" applyFill="1"/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>
      <alignment horizontal="right" vertical="center"/>
    </xf>
    <xf numFmtId="10" fontId="6" fillId="0" borderId="0" xfId="12" applyNumberFormat="1" applyFont="1" applyFill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4" fontId="4" fillId="8" borderId="0" xfId="3" applyNumberFormat="1" applyFont="1" applyFill="1" applyAlignment="1">
      <alignment horizontal="right" vertical="center"/>
    </xf>
    <xf numFmtId="10" fontId="4" fillId="8" borderId="0" xfId="12" applyNumberFormat="1" applyFont="1" applyFill="1" applyAlignment="1">
      <alignment horizontal="right" vertical="center"/>
    </xf>
    <xf numFmtId="0" fontId="4" fillId="8" borderId="0" xfId="0" applyFont="1" applyFill="1" applyAlignment="1">
      <alignment horizontal="left" vertical="center" wrapText="1"/>
    </xf>
    <xf numFmtId="4" fontId="4" fillId="8" borderId="0" xfId="0" applyNumberFormat="1" applyFont="1" applyFill="1" applyAlignment="1">
      <alignment horizontal="right"/>
    </xf>
    <xf numFmtId="10" fontId="4" fillId="8" borderId="0" xfId="0" applyNumberFormat="1" applyFont="1" applyFill="1" applyAlignment="1">
      <alignment horizontal="right"/>
    </xf>
    <xf numFmtId="0" fontId="4" fillId="8" borderId="0" xfId="0" applyFont="1" applyFill="1" applyAlignment="1">
      <alignment horizontal="left" vertical="center"/>
    </xf>
    <xf numFmtId="4" fontId="6" fillId="0" borderId="0" xfId="0" applyNumberFormat="1" applyFont="1" applyAlignment="1">
      <alignment horizontal="right"/>
    </xf>
    <xf numFmtId="10" fontId="6" fillId="0" borderId="0" xfId="0" applyNumberFormat="1" applyFont="1" applyAlignment="1">
      <alignment horizontal="right"/>
    </xf>
    <xf numFmtId="4" fontId="6" fillId="0" borderId="0" xfId="3" applyNumberFormat="1" applyFont="1" applyFill="1" applyAlignment="1">
      <alignment horizontal="right" vertical="center"/>
    </xf>
    <xf numFmtId="4" fontId="6" fillId="0" borderId="0" xfId="0" applyNumberFormat="1" applyFont="1"/>
    <xf numFmtId="0" fontId="4" fillId="8" borderId="0" xfId="0" applyFont="1" applyFill="1" applyAlignment="1">
      <alignment horizontal="left"/>
    </xf>
    <xf numFmtId="0" fontId="4" fillId="8" borderId="0" xfId="0" applyFont="1" applyFill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4" fontId="6" fillId="0" borderId="0" xfId="0" applyNumberFormat="1" applyFont="1" applyAlignment="1">
      <alignment horizontal="center" vertical="center" wrapText="1"/>
    </xf>
    <xf numFmtId="10" fontId="6" fillId="0" borderId="0" xfId="0" applyNumberFormat="1" applyFont="1"/>
    <xf numFmtId="10" fontId="4" fillId="8" borderId="0" xfId="0" applyNumberFormat="1" applyFont="1" applyFill="1"/>
    <xf numFmtId="0" fontId="6" fillId="8" borderId="0" xfId="0" applyFont="1" applyFill="1" applyAlignment="1">
      <alignment horizontal="left"/>
    </xf>
    <xf numFmtId="4" fontId="6" fillId="8" borderId="0" xfId="0" applyNumberFormat="1" applyFont="1" applyFill="1"/>
    <xf numFmtId="10" fontId="6" fillId="8" borderId="0" xfId="0" applyNumberFormat="1" applyFont="1" applyFill="1"/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49" fontId="16" fillId="0" borderId="0" xfId="0" applyNumberFormat="1" applyFont="1" applyAlignment="1">
      <alignment vertical="center"/>
    </xf>
    <xf numFmtId="4" fontId="16" fillId="0" borderId="0" xfId="0" applyNumberFormat="1" applyFont="1" applyAlignment="1">
      <alignment horizontal="right" vertical="center"/>
    </xf>
    <xf numFmtId="10" fontId="16" fillId="0" borderId="0" xfId="0" applyNumberFormat="1" applyFont="1" applyAlignment="1">
      <alignment horizontal="right" vertical="center"/>
    </xf>
    <xf numFmtId="49" fontId="16" fillId="0" borderId="0" xfId="0" applyNumberFormat="1" applyFont="1"/>
    <xf numFmtId="4" fontId="17" fillId="0" borderId="0" xfId="0" applyNumberFormat="1" applyFont="1" applyAlignment="1">
      <alignment horizontal="right" vertical="center"/>
    </xf>
    <xf numFmtId="10" fontId="17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center" vertical="center" wrapText="1"/>
    </xf>
    <xf numFmtId="0" fontId="10" fillId="5" borderId="0" xfId="0" applyFont="1" applyFill="1" applyAlignment="1">
      <alignment vertical="center"/>
    </xf>
    <xf numFmtId="49" fontId="17" fillId="5" borderId="0" xfId="0" applyNumberFormat="1" applyFont="1" applyFill="1" applyAlignment="1">
      <alignment vertical="center"/>
    </xf>
    <xf numFmtId="4" fontId="17" fillId="5" borderId="0" xfId="0" applyNumberFormat="1" applyFont="1" applyFill="1" applyAlignment="1">
      <alignment horizontal="right" vertical="center"/>
    </xf>
    <xf numFmtId="10" fontId="17" fillId="5" borderId="0" xfId="0" applyNumberFormat="1" applyFont="1" applyFill="1" applyAlignment="1">
      <alignment horizontal="right" vertical="center"/>
    </xf>
    <xf numFmtId="0" fontId="17" fillId="5" borderId="0" xfId="0" applyFont="1" applyFill="1" applyAlignment="1">
      <alignment horizontal="left" vertical="center" wrapText="1"/>
    </xf>
    <xf numFmtId="0" fontId="17" fillId="5" borderId="0" xfId="0" applyFont="1" applyFill="1" applyAlignment="1">
      <alignment horizontal="left" vertical="center"/>
    </xf>
    <xf numFmtId="165" fontId="10" fillId="5" borderId="0" xfId="0" applyNumberFormat="1" applyFont="1" applyFill="1" applyAlignment="1" applyProtection="1">
      <alignment horizontal="right" vertical="center"/>
      <protection locked="0"/>
    </xf>
    <xf numFmtId="4" fontId="10" fillId="5" borderId="0" xfId="0" applyNumberFormat="1" applyFont="1" applyFill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165" fontId="13" fillId="0" borderId="0" xfId="0" applyNumberFormat="1" applyFont="1" applyAlignment="1" applyProtection="1">
      <alignment horizontal="right" vertical="center"/>
      <protection locked="0"/>
    </xf>
    <xf numFmtId="0" fontId="10" fillId="9" borderId="0" xfId="0" applyFont="1" applyFill="1" applyAlignment="1">
      <alignment vertical="center"/>
    </xf>
    <xf numFmtId="49" fontId="17" fillId="9" borderId="0" xfId="0" applyNumberFormat="1" applyFont="1" applyFill="1" applyAlignment="1">
      <alignment vertical="center"/>
    </xf>
    <xf numFmtId="4" fontId="17" fillId="9" borderId="0" xfId="0" applyNumberFormat="1" applyFont="1" applyFill="1" applyAlignment="1">
      <alignment horizontal="right" vertical="center"/>
    </xf>
    <xf numFmtId="10" fontId="17" fillId="9" borderId="0" xfId="0" applyNumberFormat="1" applyFont="1" applyFill="1" applyAlignment="1">
      <alignment horizontal="right" vertical="center"/>
    </xf>
    <xf numFmtId="165" fontId="10" fillId="9" borderId="0" xfId="0" applyNumberFormat="1" applyFont="1" applyFill="1" applyAlignment="1" applyProtection="1">
      <alignment horizontal="right" vertical="center"/>
      <protection locked="0"/>
    </xf>
    <xf numFmtId="0" fontId="17" fillId="9" borderId="0" xfId="0" applyFont="1" applyFill="1" applyAlignment="1">
      <alignment horizontal="left" vertical="center" wrapText="1"/>
    </xf>
    <xf numFmtId="0" fontId="17" fillId="9" borderId="0" xfId="0" applyFont="1" applyFill="1" applyAlignment="1">
      <alignment horizontal="left" vertical="center"/>
    </xf>
    <xf numFmtId="4" fontId="11" fillId="0" borderId="0" xfId="0" applyNumberFormat="1" applyFont="1" applyAlignment="1">
      <alignment horizontal="right" vertical="center"/>
    </xf>
    <xf numFmtId="4" fontId="10" fillId="9" borderId="0" xfId="0" applyNumberFormat="1" applyFont="1" applyFill="1" applyAlignment="1">
      <alignment horizontal="right" vertical="center"/>
    </xf>
    <xf numFmtId="0" fontId="18" fillId="0" borderId="0" xfId="36" applyFont="1"/>
    <xf numFmtId="0" fontId="18" fillId="0" borderId="0" xfId="36" applyFont="1" applyAlignment="1">
      <alignment horizontal="center"/>
    </xf>
    <xf numFmtId="10" fontId="18" fillId="0" borderId="0" xfId="38" applyNumberFormat="1" applyFont="1" applyFill="1" applyAlignment="1">
      <alignment horizontal="center"/>
    </xf>
    <xf numFmtId="0" fontId="18" fillId="0" borderId="0" xfId="36" applyFont="1" applyAlignment="1">
      <alignment horizontal="left"/>
    </xf>
    <xf numFmtId="4" fontId="10" fillId="0" borderId="0" xfId="0" applyNumberFormat="1" applyFont="1" applyAlignment="1">
      <alignment horizontal="right" vertical="center"/>
    </xf>
    <xf numFmtId="4" fontId="10" fillId="10" borderId="0" xfId="0" applyNumberFormat="1" applyFont="1" applyFill="1" applyAlignment="1">
      <alignment horizontal="right" vertical="center"/>
    </xf>
    <xf numFmtId="4" fontId="17" fillId="3" borderId="0" xfId="0" applyNumberFormat="1" applyFont="1" applyFill="1" applyAlignment="1">
      <alignment horizontal="right" vertical="center"/>
    </xf>
    <xf numFmtId="1" fontId="10" fillId="0" borderId="0" xfId="10" applyNumberFormat="1" applyFont="1" applyFill="1" applyProtection="1"/>
    <xf numFmtId="1" fontId="11" fillId="0" borderId="0" xfId="10" applyNumberFormat="1" applyFont="1" applyFill="1" applyAlignment="1" applyProtection="1">
      <alignment horizontal="center" vertical="top" wrapText="1"/>
    </xf>
    <xf numFmtId="1" fontId="10" fillId="0" borderId="0" xfId="10" applyNumberFormat="1" applyFont="1" applyFill="1" applyAlignment="1" applyProtection="1">
      <alignment horizontal="center" vertical="top" wrapText="1"/>
    </xf>
    <xf numFmtId="1" fontId="11" fillId="11" borderId="0" xfId="0" applyNumberFormat="1" applyFont="1" applyFill="1" applyAlignment="1">
      <alignment horizontal="center" vertical="center" wrapText="1"/>
    </xf>
    <xf numFmtId="1" fontId="10" fillId="11" borderId="0" xfId="0" applyNumberFormat="1" applyFont="1" applyFill="1" applyAlignment="1" applyProtection="1">
      <alignment horizontal="right" vertical="center"/>
      <protection locked="0"/>
    </xf>
    <xf numFmtId="3" fontId="11" fillId="0" borderId="0" xfId="0" applyNumberFormat="1" applyFont="1" applyAlignment="1" applyProtection="1">
      <alignment horizontal="right"/>
      <protection locked="0"/>
    </xf>
    <xf numFmtId="3" fontId="11" fillId="0" borderId="0" xfId="0" applyNumberFormat="1" applyFont="1" applyAlignment="1">
      <alignment horizontal="right"/>
    </xf>
    <xf numFmtId="3" fontId="11" fillId="7" borderId="0" xfId="0" applyNumberFormat="1" applyFont="1" applyFill="1" applyAlignment="1">
      <alignment horizontal="right"/>
    </xf>
    <xf numFmtId="3" fontId="11" fillId="4" borderId="0" xfId="0" applyNumberFormat="1" applyFont="1" applyFill="1" applyAlignment="1">
      <alignment horizontal="right"/>
    </xf>
    <xf numFmtId="3" fontId="10" fillId="0" borderId="0" xfId="3" applyNumberFormat="1" applyFont="1" applyProtection="1">
      <protection locked="0"/>
    </xf>
    <xf numFmtId="3" fontId="14" fillId="6" borderId="0" xfId="0" applyNumberFormat="1" applyFont="1" applyFill="1"/>
    <xf numFmtId="1" fontId="4" fillId="0" borderId="0" xfId="36" applyNumberFormat="1" applyAlignment="1">
      <alignment vertical="top" wrapText="1"/>
    </xf>
    <xf numFmtId="0" fontId="4" fillId="0" borderId="0" xfId="36" applyAlignment="1">
      <alignment vertical="top" wrapText="1"/>
    </xf>
    <xf numFmtId="0" fontId="4" fillId="0" borderId="0" xfId="36"/>
    <xf numFmtId="10" fontId="4" fillId="0" borderId="0" xfId="37" applyNumberFormat="1" applyFont="1" applyFill="1"/>
    <xf numFmtId="1" fontId="4" fillId="0" borderId="0" xfId="36" applyNumberFormat="1" applyAlignment="1">
      <alignment vertical="top"/>
    </xf>
    <xf numFmtId="0" fontId="6" fillId="0" borderId="0" xfId="36" applyFont="1" applyAlignment="1">
      <alignment horizontal="center" vertical="top" wrapText="1"/>
    </xf>
    <xf numFmtId="0" fontId="8" fillId="0" borderId="0" xfId="36" applyFont="1" applyAlignment="1">
      <alignment horizontal="center" vertical="top"/>
    </xf>
    <xf numFmtId="164" fontId="6" fillId="0" borderId="0" xfId="36" applyNumberFormat="1" applyFont="1" applyAlignment="1">
      <alignment horizontal="center" vertical="top" wrapText="1"/>
    </xf>
    <xf numFmtId="10" fontId="6" fillId="0" borderId="0" xfId="37" applyNumberFormat="1" applyFont="1" applyFill="1" applyAlignment="1">
      <alignment horizontal="center" vertical="top" wrapText="1"/>
    </xf>
    <xf numFmtId="0" fontId="4" fillId="0" borderId="0" xfId="36" applyAlignment="1">
      <alignment horizontal="center" vertical="top" wrapText="1"/>
    </xf>
    <xf numFmtId="164" fontId="4" fillId="0" borderId="0" xfId="36" applyNumberFormat="1" applyAlignment="1">
      <alignment horizontal="center" vertical="top" wrapText="1"/>
    </xf>
    <xf numFmtId="10" fontId="4" fillId="0" borderId="0" xfId="37" applyNumberFormat="1" applyFont="1" applyFill="1" applyAlignment="1">
      <alignment horizontal="center" vertical="top" wrapText="1"/>
    </xf>
    <xf numFmtId="0" fontId="8" fillId="0" borderId="0" xfId="36" applyFont="1" applyAlignment="1" applyProtection="1">
      <alignment horizontal="center" vertical="top"/>
      <protection locked="0"/>
    </xf>
    <xf numFmtId="0" fontId="22" fillId="0" borderId="0" xfId="36" applyFont="1" applyAlignment="1">
      <alignment horizontal="left" vertical="center"/>
    </xf>
    <xf numFmtId="10" fontId="22" fillId="0" borderId="0" xfId="38" applyNumberFormat="1" applyFont="1" applyFill="1" applyAlignment="1">
      <alignment horizontal="right" vertical="center"/>
    </xf>
    <xf numFmtId="0" fontId="23" fillId="0" borderId="0" xfId="36" applyFont="1"/>
    <xf numFmtId="4" fontId="22" fillId="0" borderId="0" xfId="19" applyNumberFormat="1" applyFont="1" applyFill="1" applyAlignment="1">
      <alignment horizontal="right" vertical="center"/>
    </xf>
    <xf numFmtId="0" fontId="20" fillId="0" borderId="0" xfId="36" applyFont="1" applyAlignment="1">
      <alignment vertical="center"/>
    </xf>
    <xf numFmtId="0" fontId="2" fillId="0" borderId="0" xfId="39"/>
    <xf numFmtId="10" fontId="2" fillId="0" borderId="0" xfId="38" applyNumberFormat="1" applyFont="1" applyFill="1" applyAlignment="1">
      <alignment horizontal="center"/>
    </xf>
    <xf numFmtId="10" fontId="2" fillId="0" borderId="0" xfId="38" applyNumberFormat="1" applyFont="1" applyFill="1" applyAlignment="1"/>
    <xf numFmtId="0" fontId="6" fillId="8" borderId="0" xfId="0" applyFont="1" applyFill="1" applyAlignment="1">
      <alignment horizontal="left" vertical="center" wrapText="1"/>
    </xf>
    <xf numFmtId="4" fontId="6" fillId="8" borderId="0" xfId="3" applyNumberFormat="1" applyFont="1" applyFill="1" applyAlignment="1">
      <alignment horizontal="right" vertical="center"/>
    </xf>
    <xf numFmtId="4" fontId="6" fillId="8" borderId="0" xfId="0" applyNumberFormat="1" applyFont="1" applyFill="1" applyAlignment="1">
      <alignment horizontal="right"/>
    </xf>
    <xf numFmtId="10" fontId="6" fillId="8" borderId="0" xfId="0" applyNumberFormat="1" applyFont="1" applyFill="1" applyAlignment="1">
      <alignment horizontal="right"/>
    </xf>
    <xf numFmtId="4" fontId="24" fillId="9" borderId="0" xfId="0" applyNumberFormat="1" applyFont="1" applyFill="1" applyAlignment="1">
      <alignment horizontal="right" vertical="center"/>
    </xf>
    <xf numFmtId="4" fontId="24" fillId="5" borderId="0" xfId="0" applyNumberFormat="1" applyFont="1" applyFill="1" applyAlignment="1">
      <alignment horizontal="right" vertical="center"/>
    </xf>
    <xf numFmtId="4" fontId="18" fillId="0" borderId="0" xfId="36" applyNumberFormat="1" applyFont="1"/>
    <xf numFmtId="0" fontId="25" fillId="0" borderId="0" xfId="36" applyFont="1" applyAlignment="1">
      <alignment horizontal="center"/>
    </xf>
    <xf numFmtId="0" fontId="26" fillId="0" borderId="0" xfId="36" applyFont="1" applyAlignment="1">
      <alignment horizontal="center"/>
    </xf>
    <xf numFmtId="1" fontId="21" fillId="12" borderId="0" xfId="36" applyNumberFormat="1" applyFont="1" applyFill="1" applyAlignment="1">
      <alignment horizontal="center" vertical="top" wrapText="1"/>
    </xf>
    <xf numFmtId="0" fontId="21" fillId="12" borderId="0" xfId="36" applyFont="1" applyFill="1" applyAlignment="1">
      <alignment horizontal="center" vertical="top" wrapText="1"/>
    </xf>
    <xf numFmtId="10" fontId="21" fillId="12" borderId="0" xfId="38" applyNumberFormat="1" applyFont="1" applyFill="1" applyAlignment="1">
      <alignment horizontal="center"/>
    </xf>
    <xf numFmtId="43" fontId="21" fillId="12" borderId="0" xfId="19" applyFont="1" applyFill="1" applyAlignment="1">
      <alignment horizontal="center" vertical="top" wrapText="1"/>
    </xf>
    <xf numFmtId="0" fontId="20" fillId="0" borderId="1" xfId="36" applyFont="1" applyBorder="1" applyAlignment="1">
      <alignment horizontal="left" vertical="center"/>
    </xf>
    <xf numFmtId="4" fontId="20" fillId="0" borderId="1" xfId="36" applyNumberFormat="1" applyFont="1" applyBorder="1" applyAlignment="1">
      <alignment horizontal="right" vertical="center"/>
    </xf>
    <xf numFmtId="10" fontId="20" fillId="0" borderId="1" xfId="38" applyNumberFormat="1" applyFont="1" applyFill="1" applyBorder="1" applyAlignment="1">
      <alignment horizontal="right" vertical="center"/>
    </xf>
    <xf numFmtId="0" fontId="20" fillId="13" borderId="1" xfId="36" applyFont="1" applyFill="1" applyBorder="1" applyAlignment="1">
      <alignment horizontal="left" vertical="center"/>
    </xf>
    <xf numFmtId="4" fontId="20" fillId="13" borderId="1" xfId="36" applyNumberFormat="1" applyFont="1" applyFill="1" applyBorder="1" applyAlignment="1">
      <alignment horizontal="right" vertical="center"/>
    </xf>
    <xf numFmtId="10" fontId="20" fillId="13" borderId="1" xfId="38" applyNumberFormat="1" applyFont="1" applyFill="1" applyBorder="1" applyAlignment="1">
      <alignment horizontal="right" vertical="center"/>
    </xf>
    <xf numFmtId="0" fontId="1" fillId="0" borderId="1" xfId="36" applyFont="1" applyBorder="1" applyAlignment="1">
      <alignment vertical="center"/>
    </xf>
    <xf numFmtId="4" fontId="19" fillId="0" borderId="1" xfId="19" applyNumberFormat="1" applyFont="1" applyFill="1" applyBorder="1" applyAlignment="1">
      <alignment horizontal="right" vertical="center"/>
    </xf>
    <xf numFmtId="10" fontId="19" fillId="0" borderId="1" xfId="38" applyNumberFormat="1" applyFont="1" applyFill="1" applyBorder="1" applyAlignment="1">
      <alignment horizontal="right" vertical="center"/>
    </xf>
    <xf numFmtId="4" fontId="22" fillId="0" borderId="1" xfId="36" applyNumberFormat="1" applyFont="1" applyBorder="1" applyAlignment="1">
      <alignment horizontal="right"/>
    </xf>
    <xf numFmtId="10" fontId="22" fillId="0" borderId="1" xfId="36" applyNumberFormat="1" applyFont="1" applyBorder="1" applyAlignment="1">
      <alignment horizontal="right"/>
    </xf>
    <xf numFmtId="0" fontId="1" fillId="0" borderId="1" xfId="36" applyFont="1" applyBorder="1" applyAlignment="1">
      <alignment horizontal="left" vertical="center"/>
    </xf>
    <xf numFmtId="4" fontId="19" fillId="0" borderId="1" xfId="36" applyNumberFormat="1" applyFont="1" applyBorder="1" applyAlignment="1">
      <alignment horizontal="right"/>
    </xf>
    <xf numFmtId="10" fontId="19" fillId="0" borderId="1" xfId="36" applyNumberFormat="1" applyFont="1" applyBorder="1" applyAlignment="1">
      <alignment horizontal="right"/>
    </xf>
    <xf numFmtId="0" fontId="20" fillId="0" borderId="1" xfId="36" applyFont="1" applyBorder="1" applyAlignment="1">
      <alignment horizontal="left" vertical="center" wrapText="1"/>
    </xf>
    <xf numFmtId="4" fontId="22" fillId="0" borderId="1" xfId="19" applyNumberFormat="1" applyFont="1" applyFill="1" applyBorder="1" applyAlignment="1">
      <alignment horizontal="right" vertical="center"/>
    </xf>
    <xf numFmtId="10" fontId="22" fillId="0" borderId="1" xfId="38" applyNumberFormat="1" applyFont="1" applyFill="1" applyBorder="1" applyAlignment="1">
      <alignment horizontal="right" vertical="center"/>
    </xf>
    <xf numFmtId="4" fontId="22" fillId="13" borderId="1" xfId="36" applyNumberFormat="1" applyFont="1" applyFill="1" applyBorder="1" applyAlignment="1">
      <alignment horizontal="right"/>
    </xf>
    <xf numFmtId="10" fontId="22" fillId="13" borderId="1" xfId="36" applyNumberFormat="1" applyFont="1" applyFill="1" applyBorder="1" applyAlignment="1">
      <alignment horizontal="right"/>
    </xf>
    <xf numFmtId="0" fontId="20" fillId="0" borderId="1" xfId="36" applyFont="1" applyBorder="1" applyAlignment="1">
      <alignment vertical="center"/>
    </xf>
    <xf numFmtId="0" fontId="20" fillId="13" borderId="1" xfId="36" applyFont="1" applyFill="1" applyBorder="1" applyAlignment="1">
      <alignment vertical="center"/>
    </xf>
    <xf numFmtId="4" fontId="22" fillId="13" borderId="1" xfId="19" applyNumberFormat="1" applyFont="1" applyFill="1" applyBorder="1" applyAlignment="1">
      <alignment horizontal="right" vertical="center"/>
    </xf>
    <xf numFmtId="10" fontId="22" fillId="13" borderId="1" xfId="38" applyNumberFormat="1" applyFont="1" applyFill="1" applyBorder="1" applyAlignment="1">
      <alignment horizontal="right" vertical="center"/>
    </xf>
    <xf numFmtId="0" fontId="1" fillId="13" borderId="1" xfId="36" applyFont="1" applyFill="1" applyBorder="1" applyAlignment="1">
      <alignment vertical="center"/>
    </xf>
    <xf numFmtId="4" fontId="19" fillId="13" borderId="1" xfId="19" applyNumberFormat="1" applyFont="1" applyFill="1" applyBorder="1" applyAlignment="1">
      <alignment horizontal="right" vertical="center"/>
    </xf>
    <xf numFmtId="49" fontId="19" fillId="0" borderId="1" xfId="36" applyNumberFormat="1" applyFont="1" applyBorder="1" applyAlignment="1">
      <alignment horizontal="left" vertical="center"/>
    </xf>
    <xf numFmtId="49" fontId="22" fillId="0" borderId="1" xfId="36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0" fillId="9" borderId="0" xfId="0" applyFont="1" applyFill="1"/>
    <xf numFmtId="1" fontId="17" fillId="0" borderId="0" xfId="0" applyNumberFormat="1" applyFont="1" applyAlignment="1">
      <alignment horizontal="right" vertical="center"/>
    </xf>
    <xf numFmtId="44" fontId="10" fillId="0" borderId="0" xfId="0" applyNumberFormat="1" applyFont="1"/>
    <xf numFmtId="49" fontId="6" fillId="0" borderId="0" xfId="0" applyNumberFormat="1" applyFont="1" applyAlignment="1">
      <alignment horizontal="left" vertical="center"/>
    </xf>
    <xf numFmtId="49" fontId="4" fillId="8" borderId="0" xfId="0" applyNumberFormat="1" applyFont="1" applyFill="1" applyAlignment="1">
      <alignment horizontal="left" vertical="center"/>
    </xf>
    <xf numFmtId="49" fontId="6" fillId="8" borderId="0" xfId="0" applyNumberFormat="1" applyFont="1" applyFill="1" applyAlignment="1">
      <alignment horizontal="left" vertical="center"/>
    </xf>
    <xf numFmtId="49" fontId="22" fillId="13" borderId="1" xfId="36" applyNumberFormat="1" applyFont="1" applyFill="1" applyBorder="1" applyAlignment="1">
      <alignment horizontal="left" vertical="center"/>
    </xf>
    <xf numFmtId="49" fontId="19" fillId="13" borderId="1" xfId="36" applyNumberFormat="1" applyFont="1" applyFill="1" applyBorder="1" applyAlignment="1">
      <alignment horizontal="left" vertical="center"/>
    </xf>
    <xf numFmtId="4" fontId="19" fillId="13" borderId="1" xfId="36" applyNumberFormat="1" applyFont="1" applyFill="1" applyBorder="1" applyAlignment="1">
      <alignment horizontal="right"/>
    </xf>
    <xf numFmtId="10" fontId="19" fillId="13" borderId="1" xfId="36" applyNumberFormat="1" applyFont="1" applyFill="1" applyBorder="1" applyAlignment="1">
      <alignment horizontal="right"/>
    </xf>
    <xf numFmtId="4" fontId="10" fillId="5" borderId="0" xfId="0" applyNumberFormat="1" applyFont="1" applyFill="1"/>
    <xf numFmtId="0" fontId="10" fillId="5" borderId="0" xfId="0" applyFont="1" applyFill="1"/>
    <xf numFmtId="44" fontId="10" fillId="5" borderId="0" xfId="0" applyNumberFormat="1" applyFont="1" applyFill="1"/>
    <xf numFmtId="1" fontId="11" fillId="0" borderId="0" xfId="0" applyNumberFormat="1" applyFont="1" applyAlignment="1" applyProtection="1">
      <alignment horizontal="right" vertical="center"/>
      <protection locked="0"/>
    </xf>
    <xf numFmtId="4" fontId="11" fillId="0" borderId="0" xfId="0" applyNumberFormat="1" applyFont="1"/>
    <xf numFmtId="1" fontId="16" fillId="0" borderId="0" xfId="0" applyNumberFormat="1" applyFont="1" applyAlignment="1">
      <alignment horizontal="right" vertical="center"/>
    </xf>
    <xf numFmtId="44" fontId="11" fillId="0" borderId="0" xfId="0" applyNumberFormat="1" applyFont="1"/>
    <xf numFmtId="0" fontId="11" fillId="0" borderId="2" xfId="0" applyFont="1" applyBorder="1" applyAlignment="1">
      <alignment horizontal="center" vertical="center"/>
    </xf>
    <xf numFmtId="0" fontId="11" fillId="14" borderId="2" xfId="0" applyFont="1" applyFill="1" applyBorder="1"/>
    <xf numFmtId="44" fontId="11" fillId="14" borderId="2" xfId="0" applyNumberFormat="1" applyFont="1" applyFill="1" applyBorder="1"/>
    <xf numFmtId="0" fontId="11" fillId="15" borderId="2" xfId="0" applyFont="1" applyFill="1" applyBorder="1"/>
    <xf numFmtId="44" fontId="11" fillId="15" borderId="2" xfId="0" applyNumberFormat="1" applyFont="1" applyFill="1" applyBorder="1"/>
    <xf numFmtId="0" fontId="10" fillId="0" borderId="2" xfId="0" applyFont="1" applyBorder="1"/>
    <xf numFmtId="44" fontId="10" fillId="0" borderId="2" xfId="0" applyNumberFormat="1" applyFont="1" applyBorder="1"/>
    <xf numFmtId="10" fontId="11" fillId="4" borderId="0" xfId="0" applyNumberFormat="1" applyFont="1" applyFill="1" applyAlignment="1">
      <alignment horizontal="right"/>
    </xf>
    <xf numFmtId="1" fontId="17" fillId="9" borderId="0" xfId="0" applyNumberFormat="1" applyFont="1" applyFill="1" applyAlignment="1">
      <alignment horizontal="right" vertical="center"/>
    </xf>
    <xf numFmtId="1" fontId="17" fillId="5" borderId="0" xfId="0" applyNumberFormat="1" applyFont="1" applyFill="1" applyAlignment="1">
      <alignment horizontal="right" vertical="center"/>
    </xf>
    <xf numFmtId="44" fontId="0" fillId="0" borderId="0" xfId="0" applyNumberFormat="1"/>
    <xf numFmtId="1" fontId="4" fillId="8" borderId="0" xfId="3" applyNumberFormat="1" applyFont="1" applyFill="1" applyAlignment="1">
      <alignment horizontal="right" vertical="center"/>
    </xf>
    <xf numFmtId="1" fontId="6" fillId="0" borderId="0" xfId="0" applyNumberFormat="1" applyFont="1" applyAlignment="1">
      <alignment horizontal="right"/>
    </xf>
    <xf numFmtId="1" fontId="6" fillId="0" borderId="0" xfId="3" applyNumberFormat="1" applyFont="1" applyFill="1" applyAlignment="1">
      <alignment horizontal="right" vertical="center"/>
    </xf>
    <xf numFmtId="1" fontId="4" fillId="8" borderId="0" xfId="0" applyNumberFormat="1" applyFont="1" applyFill="1" applyAlignment="1">
      <alignment horizontal="right"/>
    </xf>
    <xf numFmtId="1" fontId="6" fillId="8" borderId="0" xfId="0" applyNumberFormat="1" applyFont="1" applyFill="1" applyAlignment="1">
      <alignment horizontal="right"/>
    </xf>
    <xf numFmtId="1" fontId="6" fillId="0" borderId="0" xfId="0" applyNumberFormat="1" applyFont="1"/>
    <xf numFmtId="1" fontId="4" fillId="8" borderId="0" xfId="0" applyNumberFormat="1" applyFont="1" applyFill="1"/>
    <xf numFmtId="1" fontId="6" fillId="8" borderId="0" xfId="0" applyNumberFormat="1" applyFont="1" applyFill="1"/>
    <xf numFmtId="0" fontId="27" fillId="0" borderId="0" xfId="36" applyFont="1"/>
    <xf numFmtId="0" fontId="28" fillId="0" borderId="0" xfId="36" applyFont="1"/>
    <xf numFmtId="4" fontId="28" fillId="0" borderId="0" xfId="36" applyNumberFormat="1" applyFont="1"/>
  </cellXfs>
  <cellStyles count="40">
    <cellStyle name="Comma 2" xfId="1" xr:uid="{00000000-0005-0000-0000-000000000000}"/>
    <cellStyle name="Comma 2 2" xfId="2" xr:uid="{00000000-0005-0000-0000-000001000000}"/>
    <cellStyle name="Comma 2 2 2" xfId="32" xr:uid="{00000000-0005-0000-0000-000002000000}"/>
    <cellStyle name="Comma 2 3" xfId="16" xr:uid="{00000000-0005-0000-0000-000003000000}"/>
    <cellStyle name="Comma 2 4" xfId="31" xr:uid="{00000000-0005-0000-0000-000004000000}"/>
    <cellStyle name="Millares" xfId="3" builtinId="3"/>
    <cellStyle name="Millares 2" xfId="4" xr:uid="{00000000-0005-0000-0000-000006000000}"/>
    <cellStyle name="Millares 2 2" xfId="5" xr:uid="{00000000-0005-0000-0000-000007000000}"/>
    <cellStyle name="Millares 2 2 2" xfId="19" xr:uid="{00000000-0005-0000-0000-000008000000}"/>
    <cellStyle name="Millares 2 2 3" xfId="34" xr:uid="{00000000-0005-0000-0000-000009000000}"/>
    <cellStyle name="Millares 2 3" xfId="20" xr:uid="{00000000-0005-0000-0000-00000A000000}"/>
    <cellStyle name="Millares 2 4" xfId="18" xr:uid="{00000000-0005-0000-0000-00000B000000}"/>
    <cellStyle name="Millares 2 5" xfId="33" xr:uid="{00000000-0005-0000-0000-00000C000000}"/>
    <cellStyle name="Millares 3" xfId="6" xr:uid="{00000000-0005-0000-0000-00000D000000}"/>
    <cellStyle name="Millares 3 2" xfId="21" xr:uid="{00000000-0005-0000-0000-00000E000000}"/>
    <cellStyle name="Millares 3 3" xfId="35" xr:uid="{00000000-0005-0000-0000-00000F000000}"/>
    <cellStyle name="Millares 4" xfId="22" xr:uid="{00000000-0005-0000-0000-000010000000}"/>
    <cellStyle name="Millares 5" xfId="17" xr:uid="{00000000-0005-0000-0000-000011000000}"/>
    <cellStyle name="Normal" xfId="0" builtinId="0"/>
    <cellStyle name="Normal 2" xfId="7" xr:uid="{00000000-0005-0000-0000-000013000000}"/>
    <cellStyle name="Normal 2 2" xfId="8" xr:uid="{00000000-0005-0000-0000-000014000000}"/>
    <cellStyle name="Normal 2 2 2" xfId="36" xr:uid="{00000000-0005-0000-0000-000015000000}"/>
    <cellStyle name="Normal 2 3" xfId="23" xr:uid="{00000000-0005-0000-0000-000016000000}"/>
    <cellStyle name="Normal 3" xfId="9" xr:uid="{00000000-0005-0000-0000-000017000000}"/>
    <cellStyle name="Normal 3 2" xfId="24" xr:uid="{00000000-0005-0000-0000-000018000000}"/>
    <cellStyle name="Normal 4" xfId="25" xr:uid="{00000000-0005-0000-0000-000019000000}"/>
    <cellStyle name="Normal 4 2" xfId="39" xr:uid="{00000000-0005-0000-0000-00001A000000}"/>
    <cellStyle name="Normal 5" xfId="26" xr:uid="{00000000-0005-0000-0000-00001B000000}"/>
    <cellStyle name="Percent 2" xfId="10" xr:uid="{00000000-0005-0000-0000-00001C000000}"/>
    <cellStyle name="Percent 2 2" xfId="11" xr:uid="{00000000-0005-0000-0000-00001D000000}"/>
    <cellStyle name="Percent 2 2 2" xfId="37" xr:uid="{00000000-0005-0000-0000-00001E000000}"/>
    <cellStyle name="Percent 2 3" xfId="27" xr:uid="{00000000-0005-0000-0000-00001F000000}"/>
    <cellStyle name="Porcentaje" xfId="12" builtinId="5"/>
    <cellStyle name="Porcentaje 2" xfId="13" xr:uid="{00000000-0005-0000-0000-000021000000}"/>
    <cellStyle name="Porcentaje 2 2" xfId="14" xr:uid="{00000000-0005-0000-0000-000022000000}"/>
    <cellStyle name="Porcentaje 2 2 2" xfId="38" xr:uid="{00000000-0005-0000-0000-000023000000}"/>
    <cellStyle name="Porcentaje 2 3" xfId="28" xr:uid="{00000000-0005-0000-0000-000024000000}"/>
    <cellStyle name="Porcentaje 3" xfId="15" xr:uid="{00000000-0005-0000-0000-000025000000}"/>
    <cellStyle name="Porcentaje 3 2" xfId="29" xr:uid="{00000000-0005-0000-0000-000026000000}"/>
    <cellStyle name="Porcentaje 4" xfId="30" xr:uid="{00000000-0005-0000-0000-000027000000}"/>
  </cellStyles>
  <dxfs count="1">
    <dxf>
      <fill>
        <patternFill patternType="solid">
          <fgColor rgb="FFFFE699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322118</xdr:colOff>
      <xdr:row>89</xdr:row>
      <xdr:rowOff>131618</xdr:rowOff>
    </xdr:from>
    <xdr:to>
      <xdr:col>13</xdr:col>
      <xdr:colOff>675409</xdr:colOff>
      <xdr:row>89</xdr:row>
      <xdr:rowOff>131618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6A8EAEEA-5939-4735-B49D-19A3D3375456}"/>
            </a:ext>
          </a:extLst>
        </xdr:cNvPr>
        <xdr:cNvCxnSpPr/>
      </xdr:nvCxnSpPr>
      <xdr:spPr>
        <a:xfrm>
          <a:off x="18257693" y="20362718"/>
          <a:ext cx="2353541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1066596</xdr:colOff>
      <xdr:row>89</xdr:row>
      <xdr:rowOff>167069</xdr:rowOff>
    </xdr:from>
    <xdr:to>
      <xdr:col>2</xdr:col>
      <xdr:colOff>4190796</xdr:colOff>
      <xdr:row>89</xdr:row>
      <xdr:rowOff>167069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4321095A-3045-4F8E-A3DC-F43FC9C537CE}"/>
            </a:ext>
          </a:extLst>
        </xdr:cNvPr>
        <xdr:cNvCxnSpPr/>
      </xdr:nvCxnSpPr>
      <xdr:spPr>
        <a:xfrm>
          <a:off x="2628696" y="20398169"/>
          <a:ext cx="3124200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322118</xdr:colOff>
      <xdr:row>89</xdr:row>
      <xdr:rowOff>131618</xdr:rowOff>
    </xdr:from>
    <xdr:to>
      <xdr:col>13</xdr:col>
      <xdr:colOff>675409</xdr:colOff>
      <xdr:row>89</xdr:row>
      <xdr:rowOff>131618</xdr:rowOff>
    </xdr:to>
    <xdr:cxnSp macro="">
      <xdr:nvCxnSpPr>
        <xdr:cNvPr id="7" name="2 Conector recto">
          <a:extLst>
            <a:ext uri="{FF2B5EF4-FFF2-40B4-BE49-F238E27FC236}">
              <a16:creationId xmlns:a16="http://schemas.microsoft.com/office/drawing/2014/main" id="{0842D379-B8B9-4891-BB49-353138AFE5FD}"/>
            </a:ext>
          </a:extLst>
        </xdr:cNvPr>
        <xdr:cNvCxnSpPr/>
      </xdr:nvCxnSpPr>
      <xdr:spPr>
        <a:xfrm>
          <a:off x="18257693" y="20362718"/>
          <a:ext cx="2353541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78442</xdr:colOff>
      <xdr:row>0</xdr:row>
      <xdr:rowOff>89646</xdr:rowOff>
    </xdr:from>
    <xdr:to>
      <xdr:col>2</xdr:col>
      <xdr:colOff>2151531</xdr:colOff>
      <xdr:row>5</xdr:row>
      <xdr:rowOff>256053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3832A4-84FC-4B19-A638-E14ACD836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2" y="89646"/>
          <a:ext cx="3955677" cy="1152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723900</xdr:colOff>
      <xdr:row>1</xdr:row>
      <xdr:rowOff>95250</xdr:rowOff>
    </xdr:from>
    <xdr:to>
      <xdr:col>3</xdr:col>
      <xdr:colOff>2750866</xdr:colOff>
      <xdr:row>7</xdr:row>
      <xdr:rowOff>95250</xdr:rowOff>
    </xdr:to>
    <xdr:pic>
      <xdr:nvPicPr>
        <xdr:cNvPr id="3811" name="Imagen 1">
          <a:extLst>
            <a:ext uri="{FF2B5EF4-FFF2-40B4-BE49-F238E27FC236}">
              <a16:creationId xmlns:a16="http://schemas.microsoft.com/office/drawing/2014/main" id="{00000000-0008-0000-0200-0000E3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247650"/>
          <a:ext cx="37909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William Alexander Valencia Nemocon" id="{74F6DE0F-A754-425E-8FDF-5FD0206F0808}" userId="S::wvalencia@icetex.gov.co::622764a8-1908-485d-9aa6-35c71e1e9123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Y62" dT="2023-03-07T20:24:45.86" personId="{74F6DE0F-A754-425E-8FDF-5FD0206F0808}" id="{25CC45FC-ADD9-44DA-86AD-A3115EB16C58}">
    <text>En la planilla esta acumlando sin tener en cuenta el CRP 659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Q114"/>
  <sheetViews>
    <sheetView zoomScale="70" zoomScaleNormal="70" workbookViewId="0">
      <pane xSplit="2" ySplit="1" topLeftCell="D60" activePane="bottomRight" state="frozen"/>
      <selection pane="topRight" activeCell="C1" sqref="C1"/>
      <selection pane="bottomLeft" activeCell="A2" sqref="A2"/>
      <selection pane="bottomRight" activeCell="I71" sqref="I71"/>
    </sheetView>
  </sheetViews>
  <sheetFormatPr baseColWidth="10" defaultColWidth="9.140625" defaultRowHeight="12.75" x14ac:dyDescent="0.2"/>
  <cols>
    <col min="1" max="1" width="30.5703125" bestFit="1" customWidth="1"/>
    <col min="2" max="2" width="64.85546875" customWidth="1"/>
    <col min="3" max="3" width="26.7109375" style="28" customWidth="1"/>
    <col min="4" max="4" width="24.5703125" bestFit="1" customWidth="1"/>
    <col min="5" max="6" width="26.7109375" customWidth="1"/>
    <col min="7" max="7" width="23.5703125" bestFit="1" customWidth="1"/>
    <col min="8" max="10" width="26.7109375" customWidth="1"/>
    <col min="11" max="11" width="14.7109375" customWidth="1"/>
    <col min="12" max="13" width="26.7109375" customWidth="1"/>
    <col min="14" max="14" width="14.7109375" customWidth="1"/>
    <col min="15" max="15" width="14.85546875" bestFit="1" customWidth="1"/>
    <col min="16" max="16" width="16.85546875" bestFit="1" customWidth="1"/>
    <col min="17" max="17" width="16.42578125" bestFit="1" customWidth="1"/>
  </cols>
  <sheetData>
    <row r="1" spans="1:17" s="1" customFormat="1" ht="57.75" customHeight="1" x14ac:dyDescent="0.2">
      <c r="A1" s="1" t="s">
        <v>0</v>
      </c>
      <c r="B1" s="1" t="s">
        <v>98</v>
      </c>
      <c r="C1" s="5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196</v>
      </c>
    </row>
    <row r="2" spans="1:17" x14ac:dyDescent="0.2">
      <c r="A2" s="169" t="s">
        <v>15</v>
      </c>
      <c r="B2" s="33" t="s">
        <v>13</v>
      </c>
      <c r="C2" s="34">
        <f>C3+C72+C93</f>
        <v>538478104000</v>
      </c>
      <c r="D2" s="34">
        <f>D3+D72+D93</f>
        <v>0</v>
      </c>
      <c r="E2" s="34">
        <f>E3+E72+E93</f>
        <v>71295409040</v>
      </c>
      <c r="F2" s="34">
        <f>C2+E2</f>
        <v>609773513040</v>
      </c>
      <c r="G2" s="34">
        <f>G3+G72+G93</f>
        <v>0</v>
      </c>
      <c r="H2" s="34">
        <f t="shared" ref="H2:H68" si="0">F2-G2</f>
        <v>609773513040</v>
      </c>
      <c r="I2" s="34">
        <f>I3+I72+I93</f>
        <v>53272921733</v>
      </c>
      <c r="J2" s="34">
        <f>J3+J72+J93</f>
        <v>421183692563</v>
      </c>
      <c r="K2" s="35">
        <f t="shared" ref="K2:K68" si="1">IFERROR(J2/H2,0)</f>
        <v>0.6907215278394212</v>
      </c>
      <c r="L2" s="34">
        <f>L3+L72+L93</f>
        <v>36065865538</v>
      </c>
      <c r="M2" s="34">
        <f>M3+M72+M93</f>
        <v>136158106773</v>
      </c>
      <c r="N2" s="35">
        <f>IFERROR(M2/H2,0)</f>
        <v>0.22329291755260003</v>
      </c>
      <c r="O2" s="3" t="s">
        <v>194</v>
      </c>
      <c r="Q2" s="28"/>
    </row>
    <row r="3" spans="1:17" x14ac:dyDescent="0.2">
      <c r="A3" s="169" t="s">
        <v>16</v>
      </c>
      <c r="B3" s="33" t="s">
        <v>17</v>
      </c>
      <c r="C3" s="34">
        <f>+C4+C35+C63+C67</f>
        <v>53905326000</v>
      </c>
      <c r="D3" s="34">
        <f>+D4+D35+D63+D67</f>
        <v>0</v>
      </c>
      <c r="E3" s="34">
        <f>+E4+E35+E63+E67</f>
        <v>5016244607</v>
      </c>
      <c r="F3" s="34">
        <f t="shared" ref="F3:F66" si="2">C3+E3</f>
        <v>58921570607</v>
      </c>
      <c r="G3" s="34">
        <f>+G4+G35+G63+G67</f>
        <v>0</v>
      </c>
      <c r="H3" s="34">
        <f t="shared" si="0"/>
        <v>58921570607</v>
      </c>
      <c r="I3" s="34">
        <f>+I4+I35+I63+I67</f>
        <v>5280132969</v>
      </c>
      <c r="J3" s="34">
        <f>+J4+J35+J63+J67</f>
        <v>44074969660</v>
      </c>
      <c r="K3" s="35">
        <f t="shared" si="1"/>
        <v>0.74802774613689282</v>
      </c>
      <c r="L3" s="34">
        <f>+L4+L35+L63+L67</f>
        <v>4069042587</v>
      </c>
      <c r="M3" s="34">
        <f>+M4+M35+M63+M67</f>
        <v>37540999537</v>
      </c>
      <c r="N3" s="35">
        <f t="shared" ref="N3:N66" si="3">IFERROR(M3/H3,0)</f>
        <v>0.63713507888976828</v>
      </c>
      <c r="O3" s="3" t="s">
        <v>194</v>
      </c>
    </row>
    <row r="4" spans="1:17" x14ac:dyDescent="0.2">
      <c r="A4" s="169" t="s">
        <v>18</v>
      </c>
      <c r="B4" s="33" t="s">
        <v>19</v>
      </c>
      <c r="C4" s="34">
        <f t="shared" ref="C4:M4" si="4">+C5</f>
        <v>19490091000</v>
      </c>
      <c r="D4" s="34">
        <f t="shared" si="4"/>
        <v>0</v>
      </c>
      <c r="E4" s="34">
        <f t="shared" si="4"/>
        <v>-627732527</v>
      </c>
      <c r="F4" s="34">
        <f t="shared" si="2"/>
        <v>18862358473</v>
      </c>
      <c r="G4" s="34">
        <f t="shared" si="4"/>
        <v>0</v>
      </c>
      <c r="H4" s="34">
        <f t="shared" si="0"/>
        <v>18862358473</v>
      </c>
      <c r="I4" s="34">
        <f t="shared" si="4"/>
        <v>3101563441</v>
      </c>
      <c r="J4" s="34">
        <f t="shared" si="4"/>
        <v>17848373169</v>
      </c>
      <c r="K4" s="35">
        <f t="shared" si="1"/>
        <v>0.94624292049949954</v>
      </c>
      <c r="L4" s="34">
        <f t="shared" si="4"/>
        <v>2093629063</v>
      </c>
      <c r="M4" s="34">
        <f t="shared" si="4"/>
        <v>16824125887</v>
      </c>
      <c r="N4" s="35">
        <f t="shared" si="3"/>
        <v>0.89194179567112075</v>
      </c>
      <c r="O4" s="3" t="s">
        <v>194</v>
      </c>
    </row>
    <row r="5" spans="1:17" x14ac:dyDescent="0.2">
      <c r="A5" s="169" t="s">
        <v>20</v>
      </c>
      <c r="B5" s="33" t="s">
        <v>21</v>
      </c>
      <c r="C5" s="34">
        <f t="shared" ref="C5" si="5">+C6+C19+C29</f>
        <v>19490091000</v>
      </c>
      <c r="D5" s="34">
        <f t="shared" ref="D5:M5" si="6">+D6+D19+D29</f>
        <v>0</v>
      </c>
      <c r="E5" s="34">
        <f t="shared" si="6"/>
        <v>-627732527</v>
      </c>
      <c r="F5" s="34">
        <f t="shared" si="2"/>
        <v>18862358473</v>
      </c>
      <c r="G5" s="34">
        <f t="shared" si="6"/>
        <v>0</v>
      </c>
      <c r="H5" s="34">
        <f t="shared" si="0"/>
        <v>18862358473</v>
      </c>
      <c r="I5" s="34">
        <f t="shared" si="6"/>
        <v>3101563441</v>
      </c>
      <c r="J5" s="34">
        <f t="shared" si="6"/>
        <v>17848373169</v>
      </c>
      <c r="K5" s="35">
        <f t="shared" si="1"/>
        <v>0.94624292049949954</v>
      </c>
      <c r="L5" s="34">
        <f t="shared" si="6"/>
        <v>2093629063</v>
      </c>
      <c r="M5" s="34">
        <f t="shared" si="6"/>
        <v>16824125887</v>
      </c>
      <c r="N5" s="35">
        <f t="shared" si="3"/>
        <v>0.89194179567112075</v>
      </c>
      <c r="O5" s="3" t="s">
        <v>194</v>
      </c>
    </row>
    <row r="6" spans="1:17" x14ac:dyDescent="0.2">
      <c r="A6" s="169" t="s">
        <v>22</v>
      </c>
      <c r="B6" s="36" t="s">
        <v>99</v>
      </c>
      <c r="C6" s="34">
        <f t="shared" ref="C6:M6" si="7">+C7</f>
        <v>13066324000</v>
      </c>
      <c r="D6" s="34">
        <f t="shared" si="7"/>
        <v>0</v>
      </c>
      <c r="E6" s="34">
        <f t="shared" si="7"/>
        <v>192000000</v>
      </c>
      <c r="F6" s="34">
        <f t="shared" si="2"/>
        <v>13258324000</v>
      </c>
      <c r="G6" s="34">
        <f t="shared" si="7"/>
        <v>0</v>
      </c>
      <c r="H6" s="34">
        <f t="shared" si="0"/>
        <v>13258324000</v>
      </c>
      <c r="I6" s="34">
        <f t="shared" si="7"/>
        <v>1836345816</v>
      </c>
      <c r="J6" s="34">
        <f t="shared" si="7"/>
        <v>12768909403</v>
      </c>
      <c r="K6" s="35">
        <f t="shared" si="1"/>
        <v>0.96308623948245642</v>
      </c>
      <c r="L6" s="34">
        <f t="shared" si="7"/>
        <v>1852658720</v>
      </c>
      <c r="M6" s="34">
        <f t="shared" si="7"/>
        <v>12768909403</v>
      </c>
      <c r="N6" s="35">
        <f t="shared" si="3"/>
        <v>0.96308623948245642</v>
      </c>
      <c r="O6" s="3" t="s">
        <v>194</v>
      </c>
    </row>
    <row r="7" spans="1:17" x14ac:dyDescent="0.2">
      <c r="A7" s="169" t="s">
        <v>23</v>
      </c>
      <c r="B7" s="33" t="s">
        <v>24</v>
      </c>
      <c r="C7" s="34">
        <f t="shared" ref="C7" si="8">+SUM(C8:C15)+C18</f>
        <v>13066324000</v>
      </c>
      <c r="D7" s="34">
        <f t="shared" ref="D7:M7" si="9">+SUM(D8:D15)+D18</f>
        <v>0</v>
      </c>
      <c r="E7" s="34">
        <f t="shared" si="9"/>
        <v>192000000</v>
      </c>
      <c r="F7" s="34">
        <f t="shared" si="2"/>
        <v>13258324000</v>
      </c>
      <c r="G7" s="34">
        <f t="shared" si="9"/>
        <v>0</v>
      </c>
      <c r="H7" s="34">
        <f t="shared" si="0"/>
        <v>13258324000</v>
      </c>
      <c r="I7" s="34">
        <f t="shared" si="9"/>
        <v>1836345816</v>
      </c>
      <c r="J7" s="34">
        <f t="shared" si="9"/>
        <v>12768909403</v>
      </c>
      <c r="K7" s="35">
        <f t="shared" si="1"/>
        <v>0.96308623948245642</v>
      </c>
      <c r="L7" s="34">
        <f t="shared" si="9"/>
        <v>1852658720</v>
      </c>
      <c r="M7" s="34">
        <f t="shared" si="9"/>
        <v>12768909403</v>
      </c>
      <c r="N7" s="35">
        <f t="shared" si="3"/>
        <v>0.96308623948245642</v>
      </c>
      <c r="O7" s="3" t="s">
        <v>194</v>
      </c>
    </row>
    <row r="8" spans="1:17" x14ac:dyDescent="0.2">
      <c r="A8" s="170" t="s">
        <v>25</v>
      </c>
      <c r="B8" s="47" t="s">
        <v>133</v>
      </c>
      <c r="C8" s="194">
        <v>7646585000</v>
      </c>
      <c r="D8" s="194">
        <v>0</v>
      </c>
      <c r="E8" s="194">
        <v>37000000</v>
      </c>
      <c r="F8" s="37">
        <f t="shared" si="2"/>
        <v>7683585000</v>
      </c>
      <c r="G8" s="194">
        <v>0</v>
      </c>
      <c r="H8" s="194">
        <f t="shared" si="0"/>
        <v>7683585000</v>
      </c>
      <c r="I8" s="194">
        <v>643362431</v>
      </c>
      <c r="J8" s="194">
        <v>7653374087</v>
      </c>
      <c r="K8" s="38">
        <f t="shared" si="1"/>
        <v>0.99606812275780121</v>
      </c>
      <c r="L8" s="194">
        <v>659675335</v>
      </c>
      <c r="M8" s="194">
        <v>7653374087</v>
      </c>
      <c r="N8" s="38">
        <f t="shared" si="3"/>
        <v>0.99606812275780121</v>
      </c>
      <c r="O8" s="30" t="s">
        <v>195</v>
      </c>
      <c r="Q8" s="28"/>
    </row>
    <row r="9" spans="1:17" x14ac:dyDescent="0.2">
      <c r="A9" s="170" t="s">
        <v>26</v>
      </c>
      <c r="B9" s="48" t="s">
        <v>134</v>
      </c>
      <c r="C9" s="194">
        <v>340595000</v>
      </c>
      <c r="D9" s="37">
        <v>0</v>
      </c>
      <c r="E9" s="37">
        <v>-298000000</v>
      </c>
      <c r="F9" s="37">
        <f t="shared" si="2"/>
        <v>42595000</v>
      </c>
      <c r="G9" s="37">
        <v>0</v>
      </c>
      <c r="H9" s="37">
        <f t="shared" si="0"/>
        <v>42595000</v>
      </c>
      <c r="I9" s="37">
        <v>2832852</v>
      </c>
      <c r="J9" s="37">
        <v>39981456</v>
      </c>
      <c r="K9" s="38">
        <f t="shared" si="1"/>
        <v>0.93864200023476929</v>
      </c>
      <c r="L9" s="37">
        <v>2832852</v>
      </c>
      <c r="M9" s="37">
        <v>39981456</v>
      </c>
      <c r="N9" s="38">
        <f t="shared" si="3"/>
        <v>0.93864200023476929</v>
      </c>
      <c r="O9" s="30" t="s">
        <v>195</v>
      </c>
      <c r="Q9" s="28"/>
    </row>
    <row r="10" spans="1:17" x14ac:dyDescent="0.2">
      <c r="A10" s="170" t="s">
        <v>27</v>
      </c>
      <c r="B10" s="47" t="s">
        <v>135</v>
      </c>
      <c r="C10" s="194">
        <v>1042714000</v>
      </c>
      <c r="D10" s="37">
        <v>0</v>
      </c>
      <c r="E10" s="37">
        <v>-45000000</v>
      </c>
      <c r="F10" s="37">
        <f t="shared" si="2"/>
        <v>997714000</v>
      </c>
      <c r="G10" s="37">
        <v>0</v>
      </c>
      <c r="H10" s="37">
        <f t="shared" si="0"/>
        <v>997714000</v>
      </c>
      <c r="I10" s="37">
        <v>85878529</v>
      </c>
      <c r="J10" s="37">
        <v>974016654</v>
      </c>
      <c r="K10" s="38">
        <f t="shared" si="1"/>
        <v>0.97624835774580687</v>
      </c>
      <c r="L10" s="37">
        <v>85878529</v>
      </c>
      <c r="M10" s="37">
        <v>974016654</v>
      </c>
      <c r="N10" s="38">
        <f t="shared" si="3"/>
        <v>0.97624835774580687</v>
      </c>
      <c r="O10" s="30" t="s">
        <v>195</v>
      </c>
      <c r="Q10" s="28"/>
    </row>
    <row r="11" spans="1:17" x14ac:dyDescent="0.2">
      <c r="A11" s="170" t="s">
        <v>28</v>
      </c>
      <c r="B11" s="47" t="s">
        <v>136</v>
      </c>
      <c r="C11" s="194">
        <v>1177000</v>
      </c>
      <c r="D11" s="37">
        <v>0</v>
      </c>
      <c r="E11" s="37">
        <v>500000</v>
      </c>
      <c r="F11" s="37">
        <f t="shared" si="2"/>
        <v>1677000</v>
      </c>
      <c r="G11" s="37">
        <v>0</v>
      </c>
      <c r="H11" s="37">
        <f t="shared" si="0"/>
        <v>1677000</v>
      </c>
      <c r="I11" s="37">
        <v>69252</v>
      </c>
      <c r="J11" s="37">
        <v>1098135</v>
      </c>
      <c r="K11" s="38">
        <f t="shared" si="1"/>
        <v>0.65482110912343472</v>
      </c>
      <c r="L11" s="37">
        <v>69252</v>
      </c>
      <c r="M11" s="37">
        <v>1098135</v>
      </c>
      <c r="N11" s="38">
        <f t="shared" si="3"/>
        <v>0.65482110912343472</v>
      </c>
      <c r="O11" s="30" t="s">
        <v>195</v>
      </c>
      <c r="Q11" s="28"/>
    </row>
    <row r="12" spans="1:17" x14ac:dyDescent="0.2">
      <c r="A12" s="170" t="s">
        <v>29</v>
      </c>
      <c r="B12" s="47" t="s">
        <v>137</v>
      </c>
      <c r="C12" s="194">
        <v>2003000</v>
      </c>
      <c r="D12" s="37">
        <v>0</v>
      </c>
      <c r="E12" s="37">
        <v>1000000</v>
      </c>
      <c r="F12" s="37">
        <f t="shared" si="2"/>
        <v>3003000</v>
      </c>
      <c r="G12" s="37">
        <v>0</v>
      </c>
      <c r="H12" s="37">
        <f t="shared" si="0"/>
        <v>3003000</v>
      </c>
      <c r="I12" s="37">
        <v>140000</v>
      </c>
      <c r="J12" s="37">
        <v>2220000</v>
      </c>
      <c r="K12" s="38">
        <f t="shared" si="1"/>
        <v>0.73926073926073921</v>
      </c>
      <c r="L12" s="37">
        <v>140000</v>
      </c>
      <c r="M12" s="37">
        <v>2220000</v>
      </c>
      <c r="N12" s="38">
        <f t="shared" si="3"/>
        <v>0.73926073926073921</v>
      </c>
      <c r="O12" s="30" t="s">
        <v>195</v>
      </c>
      <c r="Q12" s="28"/>
    </row>
    <row r="13" spans="1:17" x14ac:dyDescent="0.2">
      <c r="A13" s="170" t="s">
        <v>30</v>
      </c>
      <c r="B13" s="47" t="s">
        <v>138</v>
      </c>
      <c r="C13" s="194">
        <v>748685000</v>
      </c>
      <c r="D13" s="37">
        <v>0</v>
      </c>
      <c r="E13" s="37">
        <v>534000000</v>
      </c>
      <c r="F13" s="37">
        <f t="shared" si="2"/>
        <v>1282685000</v>
      </c>
      <c r="G13" s="37">
        <v>0</v>
      </c>
      <c r="H13" s="37">
        <f t="shared" si="0"/>
        <v>1282685000</v>
      </c>
      <c r="I13" s="37">
        <v>0</v>
      </c>
      <c r="J13" s="37">
        <v>1185550783</v>
      </c>
      <c r="K13" s="38">
        <f t="shared" si="1"/>
        <v>0.92427274272327187</v>
      </c>
      <c r="L13" s="37">
        <v>0</v>
      </c>
      <c r="M13" s="37">
        <v>1185550783</v>
      </c>
      <c r="N13" s="38">
        <f t="shared" si="3"/>
        <v>0.92427274272327187</v>
      </c>
      <c r="O13" s="30" t="s">
        <v>195</v>
      </c>
      <c r="Q13" s="28"/>
    </row>
    <row r="14" spans="1:17" x14ac:dyDescent="0.2">
      <c r="A14" s="170" t="s">
        <v>31</v>
      </c>
      <c r="B14" s="47" t="s">
        <v>139</v>
      </c>
      <c r="C14" s="194">
        <v>448072000</v>
      </c>
      <c r="D14" s="37">
        <v>0</v>
      </c>
      <c r="E14" s="37">
        <v>-120000000</v>
      </c>
      <c r="F14" s="37">
        <f t="shared" si="2"/>
        <v>328072000</v>
      </c>
      <c r="G14" s="37">
        <v>0</v>
      </c>
      <c r="H14" s="37">
        <f t="shared" si="0"/>
        <v>328072000</v>
      </c>
      <c r="I14" s="37">
        <v>1286728</v>
      </c>
      <c r="J14" s="37">
        <v>253950654</v>
      </c>
      <c r="K14" s="38">
        <f t="shared" si="1"/>
        <v>0.77406988100173135</v>
      </c>
      <c r="L14" s="37">
        <v>1286728</v>
      </c>
      <c r="M14" s="37">
        <v>253950654</v>
      </c>
      <c r="N14" s="38">
        <f t="shared" si="3"/>
        <v>0.77406988100173135</v>
      </c>
      <c r="O14" s="30" t="s">
        <v>195</v>
      </c>
      <c r="Q14" s="28"/>
    </row>
    <row r="15" spans="1:17" x14ac:dyDescent="0.2">
      <c r="A15" s="169" t="s">
        <v>32</v>
      </c>
      <c r="B15" s="33" t="s">
        <v>33</v>
      </c>
      <c r="C15" s="195">
        <f t="shared" ref="C15" si="10">+SUM(C16:C17)</f>
        <v>1549053000</v>
      </c>
      <c r="D15" s="43">
        <f t="shared" ref="D15:M15" si="11">+SUM(D16:D17)</f>
        <v>0</v>
      </c>
      <c r="E15" s="43">
        <f t="shared" si="11"/>
        <v>133000000</v>
      </c>
      <c r="F15" s="43">
        <f t="shared" si="2"/>
        <v>1682053000</v>
      </c>
      <c r="G15" s="43">
        <f t="shared" si="11"/>
        <v>0</v>
      </c>
      <c r="H15" s="43">
        <f t="shared" si="0"/>
        <v>1682053000</v>
      </c>
      <c r="I15" s="43">
        <f t="shared" si="11"/>
        <v>996255249</v>
      </c>
      <c r="J15" s="43">
        <f t="shared" si="11"/>
        <v>1443812422</v>
      </c>
      <c r="K15" s="44">
        <f t="shared" si="1"/>
        <v>0.85836321566561813</v>
      </c>
      <c r="L15" s="43">
        <f t="shared" si="11"/>
        <v>996255249</v>
      </c>
      <c r="M15" s="43">
        <f t="shared" si="11"/>
        <v>1443812422</v>
      </c>
      <c r="N15" s="44">
        <f t="shared" si="3"/>
        <v>0.85836321566561813</v>
      </c>
      <c r="O15" s="3" t="s">
        <v>194</v>
      </c>
      <c r="Q15" s="28"/>
    </row>
    <row r="16" spans="1:17" x14ac:dyDescent="0.2">
      <c r="A16" s="170" t="s">
        <v>34</v>
      </c>
      <c r="B16" s="47" t="s">
        <v>140</v>
      </c>
      <c r="C16" s="194">
        <v>1083358000</v>
      </c>
      <c r="D16" s="37">
        <v>0</v>
      </c>
      <c r="E16" s="37">
        <v>83000000</v>
      </c>
      <c r="F16" s="37">
        <f t="shared" si="2"/>
        <v>1166358000</v>
      </c>
      <c r="G16" s="37">
        <v>0</v>
      </c>
      <c r="H16" s="37">
        <f t="shared" si="0"/>
        <v>1166358000</v>
      </c>
      <c r="I16" s="37">
        <v>956334369</v>
      </c>
      <c r="J16" s="37">
        <v>1023805449</v>
      </c>
      <c r="K16" s="38">
        <f t="shared" si="1"/>
        <v>0.87777976316019612</v>
      </c>
      <c r="L16" s="37">
        <v>956334369</v>
      </c>
      <c r="M16" s="37">
        <v>1023805449</v>
      </c>
      <c r="N16" s="38">
        <f t="shared" si="3"/>
        <v>0.87777976316019612</v>
      </c>
      <c r="O16" s="30" t="s">
        <v>195</v>
      </c>
      <c r="Q16" s="28"/>
    </row>
    <row r="17" spans="1:17" x14ac:dyDescent="0.2">
      <c r="A17" s="170" t="s">
        <v>35</v>
      </c>
      <c r="B17" s="47" t="s">
        <v>141</v>
      </c>
      <c r="C17" s="194">
        <v>465695000</v>
      </c>
      <c r="D17" s="37">
        <v>0</v>
      </c>
      <c r="E17" s="37">
        <v>50000000</v>
      </c>
      <c r="F17" s="37">
        <f t="shared" si="2"/>
        <v>515695000</v>
      </c>
      <c r="G17" s="37">
        <v>0</v>
      </c>
      <c r="H17" s="37">
        <f t="shared" si="0"/>
        <v>515695000</v>
      </c>
      <c r="I17" s="37">
        <v>39920880</v>
      </c>
      <c r="J17" s="37">
        <v>420006973</v>
      </c>
      <c r="K17" s="38">
        <f t="shared" si="1"/>
        <v>0.81444841039761873</v>
      </c>
      <c r="L17" s="37">
        <v>39920880</v>
      </c>
      <c r="M17" s="37">
        <v>420006973</v>
      </c>
      <c r="N17" s="38">
        <f t="shared" si="3"/>
        <v>0.81444841039761873</v>
      </c>
      <c r="O17" s="30" t="s">
        <v>195</v>
      </c>
      <c r="Q17" s="28"/>
    </row>
    <row r="18" spans="1:17" x14ac:dyDescent="0.2">
      <c r="A18" s="170" t="s">
        <v>36</v>
      </c>
      <c r="B18" s="47" t="s">
        <v>142</v>
      </c>
      <c r="C18" s="194">
        <v>1287440000</v>
      </c>
      <c r="D18" s="37">
        <v>0</v>
      </c>
      <c r="E18" s="37">
        <v>-50500000</v>
      </c>
      <c r="F18" s="37">
        <f t="shared" si="2"/>
        <v>1236940000</v>
      </c>
      <c r="G18" s="37">
        <v>0</v>
      </c>
      <c r="H18" s="37">
        <f t="shared" si="0"/>
        <v>1236940000</v>
      </c>
      <c r="I18" s="37">
        <v>106520775</v>
      </c>
      <c r="J18" s="37">
        <v>1214905212</v>
      </c>
      <c r="K18" s="38">
        <f t="shared" si="1"/>
        <v>0.9821860494445972</v>
      </c>
      <c r="L18" s="37">
        <v>106520775</v>
      </c>
      <c r="M18" s="37">
        <v>1214905212</v>
      </c>
      <c r="N18" s="38">
        <f t="shared" si="3"/>
        <v>0.9821860494445972</v>
      </c>
      <c r="O18" s="30" t="s">
        <v>195</v>
      </c>
      <c r="Q18" s="28"/>
    </row>
    <row r="19" spans="1:17" x14ac:dyDescent="0.2">
      <c r="A19" s="169" t="s">
        <v>37</v>
      </c>
      <c r="B19" s="36" t="s">
        <v>100</v>
      </c>
      <c r="C19" s="195">
        <f t="shared" ref="C19" si="12">+SUM(C20:C22)+SUM(C25:C28)</f>
        <v>6131286000</v>
      </c>
      <c r="D19" s="43">
        <f t="shared" ref="D19:M19" si="13">+SUM(D20:D22)+SUM(D25:D28)</f>
        <v>0</v>
      </c>
      <c r="E19" s="43">
        <f>+SUM(E20:E22)+SUM(E25:E28)</f>
        <v>-892732527</v>
      </c>
      <c r="F19" s="43">
        <f t="shared" si="2"/>
        <v>5238553473</v>
      </c>
      <c r="G19" s="43">
        <f t="shared" si="13"/>
        <v>0</v>
      </c>
      <c r="H19" s="43">
        <f t="shared" si="0"/>
        <v>5238553473</v>
      </c>
      <c r="I19" s="43">
        <f t="shared" si="13"/>
        <v>1255841482</v>
      </c>
      <c r="J19" s="43">
        <f t="shared" si="13"/>
        <v>4844774921</v>
      </c>
      <c r="K19" s="44">
        <f t="shared" si="1"/>
        <v>0.92483067052201107</v>
      </c>
      <c r="L19" s="43">
        <f t="shared" si="13"/>
        <v>231594200</v>
      </c>
      <c r="M19" s="43">
        <f t="shared" si="13"/>
        <v>3820527639</v>
      </c>
      <c r="N19" s="44">
        <f t="shared" si="3"/>
        <v>0.72930965746390886</v>
      </c>
      <c r="O19" s="3" t="s">
        <v>194</v>
      </c>
      <c r="Q19" s="28"/>
    </row>
    <row r="20" spans="1:17" x14ac:dyDescent="0.2">
      <c r="A20" s="170" t="s">
        <v>38</v>
      </c>
      <c r="B20" s="48" t="s">
        <v>143</v>
      </c>
      <c r="C20" s="194">
        <v>1289658000</v>
      </c>
      <c r="D20" s="37">
        <v>0</v>
      </c>
      <c r="E20" s="37">
        <v>-60000000</v>
      </c>
      <c r="F20" s="37">
        <f t="shared" si="2"/>
        <v>1229658000</v>
      </c>
      <c r="G20" s="37">
        <v>0</v>
      </c>
      <c r="H20" s="37">
        <f t="shared" si="0"/>
        <v>1229658000</v>
      </c>
      <c r="I20" s="37">
        <v>96521100</v>
      </c>
      <c r="J20" s="37">
        <v>1173897600</v>
      </c>
      <c r="K20" s="38">
        <f t="shared" si="1"/>
        <v>0.95465373298917255</v>
      </c>
      <c r="L20" s="37">
        <v>96521100</v>
      </c>
      <c r="M20" s="37">
        <v>1173897600</v>
      </c>
      <c r="N20" s="38">
        <f t="shared" si="3"/>
        <v>0.95465373298917255</v>
      </c>
      <c r="O20" s="30" t="s">
        <v>195</v>
      </c>
      <c r="Q20" s="28"/>
    </row>
    <row r="21" spans="1:17" x14ac:dyDescent="0.2">
      <c r="A21" s="170" t="s">
        <v>39</v>
      </c>
      <c r="B21" s="47" t="s">
        <v>144</v>
      </c>
      <c r="C21" s="194">
        <v>824934000</v>
      </c>
      <c r="D21" s="37">
        <v>0</v>
      </c>
      <c r="E21" s="37">
        <v>-200000000</v>
      </c>
      <c r="F21" s="37">
        <f t="shared" si="2"/>
        <v>624934000</v>
      </c>
      <c r="G21" s="37">
        <v>0</v>
      </c>
      <c r="H21" s="37">
        <f t="shared" si="0"/>
        <v>624934000</v>
      </c>
      <c r="I21" s="37">
        <v>49593400</v>
      </c>
      <c r="J21" s="37">
        <v>619600800</v>
      </c>
      <c r="K21" s="38">
        <f t="shared" si="1"/>
        <v>0.99146597880736209</v>
      </c>
      <c r="L21" s="37">
        <v>49593400</v>
      </c>
      <c r="M21" s="37">
        <v>619600800</v>
      </c>
      <c r="N21" s="38">
        <f t="shared" si="3"/>
        <v>0.99146597880736209</v>
      </c>
      <c r="O21" s="30" t="s">
        <v>195</v>
      </c>
      <c r="Q21" s="28"/>
    </row>
    <row r="22" spans="1:17" x14ac:dyDescent="0.2">
      <c r="A22" s="169" t="s">
        <v>40</v>
      </c>
      <c r="B22" s="49" t="s">
        <v>41</v>
      </c>
      <c r="C22" s="196">
        <f t="shared" ref="C22" si="14">SUM(C23:C24)</f>
        <v>2690384000</v>
      </c>
      <c r="D22" s="45">
        <f t="shared" ref="D22:M22" si="15">SUM(D23:D24)</f>
        <v>0</v>
      </c>
      <c r="E22" s="45">
        <f t="shared" si="15"/>
        <v>-527732527</v>
      </c>
      <c r="F22" s="45">
        <f t="shared" si="2"/>
        <v>2162651473</v>
      </c>
      <c r="G22" s="45">
        <f t="shared" si="15"/>
        <v>0</v>
      </c>
      <c r="H22" s="45">
        <f t="shared" si="0"/>
        <v>2162651473</v>
      </c>
      <c r="I22" s="45">
        <f t="shared" si="15"/>
        <v>1024247282</v>
      </c>
      <c r="J22" s="45">
        <f t="shared" si="15"/>
        <v>1984247921</v>
      </c>
      <c r="K22" s="35">
        <f t="shared" si="1"/>
        <v>0.91750702587665633</v>
      </c>
      <c r="L22" s="45">
        <f t="shared" si="15"/>
        <v>0</v>
      </c>
      <c r="M22" s="45">
        <f t="shared" si="15"/>
        <v>960000639</v>
      </c>
      <c r="N22" s="35">
        <f t="shared" si="3"/>
        <v>0.4438998382241871</v>
      </c>
      <c r="O22" s="3" t="s">
        <v>194</v>
      </c>
      <c r="Q22" s="28"/>
    </row>
    <row r="23" spans="1:17" s="2" customFormat="1" x14ac:dyDescent="0.2">
      <c r="A23" s="170" t="s">
        <v>42</v>
      </c>
      <c r="B23" s="47" t="s">
        <v>145</v>
      </c>
      <c r="C23" s="194">
        <v>1190384000</v>
      </c>
      <c r="D23" s="37">
        <v>0</v>
      </c>
      <c r="E23" s="37">
        <v>100000000</v>
      </c>
      <c r="F23" s="37">
        <f t="shared" si="2"/>
        <v>1290384000</v>
      </c>
      <c r="G23" s="37">
        <v>0</v>
      </c>
      <c r="H23" s="37">
        <f t="shared" si="0"/>
        <v>1290384000</v>
      </c>
      <c r="I23" s="37">
        <v>1024247282</v>
      </c>
      <c r="J23" s="37">
        <v>1111980448</v>
      </c>
      <c r="K23" s="38">
        <f t="shared" si="1"/>
        <v>0.86174382819377793</v>
      </c>
      <c r="L23" s="37">
        <v>0</v>
      </c>
      <c r="M23" s="37">
        <v>87733166</v>
      </c>
      <c r="N23" s="38">
        <f t="shared" si="3"/>
        <v>6.7989967327555204E-2</v>
      </c>
      <c r="O23" s="30" t="s">
        <v>195</v>
      </c>
      <c r="P23"/>
      <c r="Q23" s="28"/>
    </row>
    <row r="24" spans="1:17" s="2" customFormat="1" x14ac:dyDescent="0.2">
      <c r="A24" s="170" t="s">
        <v>43</v>
      </c>
      <c r="B24" s="47" t="s">
        <v>146</v>
      </c>
      <c r="C24" s="194">
        <v>1500000000</v>
      </c>
      <c r="D24" s="37">
        <v>0</v>
      </c>
      <c r="E24" s="37">
        <v>-627732527</v>
      </c>
      <c r="F24" s="37">
        <f t="shared" si="2"/>
        <v>872267473</v>
      </c>
      <c r="G24" s="37">
        <v>0</v>
      </c>
      <c r="H24" s="37">
        <f t="shared" si="0"/>
        <v>872267473</v>
      </c>
      <c r="I24" s="37">
        <v>0</v>
      </c>
      <c r="J24" s="37">
        <v>872267473</v>
      </c>
      <c r="K24" s="38">
        <f t="shared" si="1"/>
        <v>1</v>
      </c>
      <c r="L24" s="37">
        <v>0</v>
      </c>
      <c r="M24" s="37">
        <v>872267473</v>
      </c>
      <c r="N24" s="38">
        <f t="shared" si="3"/>
        <v>1</v>
      </c>
      <c r="O24" s="30" t="s">
        <v>195</v>
      </c>
      <c r="P24"/>
      <c r="Q24" s="28"/>
    </row>
    <row r="25" spans="1:17" x14ac:dyDescent="0.2">
      <c r="A25" s="170" t="s">
        <v>44</v>
      </c>
      <c r="B25" s="47" t="s">
        <v>147</v>
      </c>
      <c r="C25" s="194">
        <v>480938000</v>
      </c>
      <c r="D25" s="37">
        <v>0</v>
      </c>
      <c r="E25" s="37">
        <v>30000000</v>
      </c>
      <c r="F25" s="37">
        <f t="shared" si="2"/>
        <v>510938000</v>
      </c>
      <c r="G25" s="37">
        <v>0</v>
      </c>
      <c r="H25" s="37">
        <f t="shared" si="0"/>
        <v>510938000</v>
      </c>
      <c r="I25" s="37">
        <v>36054300</v>
      </c>
      <c r="J25" s="37">
        <v>453635400</v>
      </c>
      <c r="K25" s="38">
        <f t="shared" si="1"/>
        <v>0.88784823207512453</v>
      </c>
      <c r="L25" s="37">
        <v>36054300</v>
      </c>
      <c r="M25" s="37">
        <v>453635400</v>
      </c>
      <c r="N25" s="38">
        <f t="shared" si="3"/>
        <v>0.88784823207512453</v>
      </c>
      <c r="O25" s="30" t="s">
        <v>195</v>
      </c>
      <c r="Q25" s="28"/>
    </row>
    <row r="26" spans="1:17" ht="25.5" x14ac:dyDescent="0.2">
      <c r="A26" s="170" t="s">
        <v>45</v>
      </c>
      <c r="B26" s="48" t="s">
        <v>148</v>
      </c>
      <c r="C26" s="194">
        <v>301740000</v>
      </c>
      <c r="D26" s="37">
        <v>0</v>
      </c>
      <c r="E26" s="37">
        <v>-100000000</v>
      </c>
      <c r="F26" s="37">
        <f t="shared" si="2"/>
        <v>201740000</v>
      </c>
      <c r="G26" s="37">
        <v>0</v>
      </c>
      <c r="H26" s="37">
        <f t="shared" si="0"/>
        <v>201740000</v>
      </c>
      <c r="I26" s="37">
        <v>15312700</v>
      </c>
      <c r="J26" s="37">
        <v>180287000</v>
      </c>
      <c r="K26" s="38">
        <f t="shared" si="1"/>
        <v>0.89366015663725584</v>
      </c>
      <c r="L26" s="37">
        <v>15312700</v>
      </c>
      <c r="M26" s="37">
        <v>180287000</v>
      </c>
      <c r="N26" s="38">
        <f t="shared" si="3"/>
        <v>0.89366015663725584</v>
      </c>
      <c r="O26" s="30" t="s">
        <v>195</v>
      </c>
      <c r="Q26" s="28"/>
    </row>
    <row r="27" spans="1:17" x14ac:dyDescent="0.2">
      <c r="A27" s="170" t="s">
        <v>46</v>
      </c>
      <c r="B27" s="47" t="s">
        <v>149</v>
      </c>
      <c r="C27" s="194">
        <v>326179000</v>
      </c>
      <c r="D27" s="37">
        <v>0</v>
      </c>
      <c r="E27" s="37">
        <v>-20000000</v>
      </c>
      <c r="F27" s="37">
        <f t="shared" si="2"/>
        <v>306179000</v>
      </c>
      <c r="G27" s="37">
        <v>0</v>
      </c>
      <c r="H27" s="37">
        <f t="shared" si="0"/>
        <v>306179000</v>
      </c>
      <c r="I27" s="37">
        <v>20467100</v>
      </c>
      <c r="J27" s="37">
        <v>259857500</v>
      </c>
      <c r="K27" s="38">
        <f t="shared" si="1"/>
        <v>0.84871104811237874</v>
      </c>
      <c r="L27" s="37">
        <v>20467100</v>
      </c>
      <c r="M27" s="37">
        <v>259857500</v>
      </c>
      <c r="N27" s="38">
        <f t="shared" si="3"/>
        <v>0.84871104811237874</v>
      </c>
      <c r="O27" s="30" t="s">
        <v>195</v>
      </c>
      <c r="Q27" s="28"/>
    </row>
    <row r="28" spans="1:17" x14ac:dyDescent="0.2">
      <c r="A28" s="170" t="s">
        <v>47</v>
      </c>
      <c r="B28" s="47" t="s">
        <v>150</v>
      </c>
      <c r="C28" s="194">
        <v>217453000</v>
      </c>
      <c r="D28" s="37">
        <v>0</v>
      </c>
      <c r="E28" s="37">
        <v>-15000000</v>
      </c>
      <c r="F28" s="37">
        <f t="shared" si="2"/>
        <v>202453000</v>
      </c>
      <c r="G28" s="37">
        <v>0</v>
      </c>
      <c r="H28" s="37">
        <f t="shared" si="0"/>
        <v>202453000</v>
      </c>
      <c r="I28" s="37">
        <v>13645600</v>
      </c>
      <c r="J28" s="37">
        <v>173248700</v>
      </c>
      <c r="K28" s="38">
        <f t="shared" si="1"/>
        <v>0.85574775379964729</v>
      </c>
      <c r="L28" s="37">
        <v>13645600</v>
      </c>
      <c r="M28" s="37">
        <v>173248700</v>
      </c>
      <c r="N28" s="38">
        <f t="shared" si="3"/>
        <v>0.85574775379964729</v>
      </c>
      <c r="O28" s="30" t="s">
        <v>195</v>
      </c>
      <c r="Q28" s="28"/>
    </row>
    <row r="29" spans="1:17" ht="25.5" x14ac:dyDescent="0.2">
      <c r="A29" s="169" t="s">
        <v>48</v>
      </c>
      <c r="B29" s="36" t="s">
        <v>151</v>
      </c>
      <c r="C29" s="195">
        <f>C30+C33</f>
        <v>292481000</v>
      </c>
      <c r="D29" s="43">
        <f>D30+D33</f>
        <v>0</v>
      </c>
      <c r="E29" s="43">
        <f>E30+E33</f>
        <v>73000000</v>
      </c>
      <c r="F29" s="43">
        <f t="shared" si="2"/>
        <v>365481000</v>
      </c>
      <c r="G29" s="43">
        <f>G30+G33</f>
        <v>0</v>
      </c>
      <c r="H29" s="43">
        <f t="shared" si="0"/>
        <v>365481000</v>
      </c>
      <c r="I29" s="43">
        <f>I30+I33</f>
        <v>9376143</v>
      </c>
      <c r="J29" s="43">
        <f>J30+J33</f>
        <v>234688845</v>
      </c>
      <c r="K29" s="44">
        <f t="shared" si="1"/>
        <v>0.64213692367045072</v>
      </c>
      <c r="L29" s="43">
        <f>L30+L33</f>
        <v>9376143</v>
      </c>
      <c r="M29" s="43">
        <f>M30+M33</f>
        <v>234688845</v>
      </c>
      <c r="N29" s="44">
        <f t="shared" si="3"/>
        <v>0.64213692367045072</v>
      </c>
      <c r="O29" s="3" t="s">
        <v>194</v>
      </c>
      <c r="Q29" s="28"/>
    </row>
    <row r="30" spans="1:17" x14ac:dyDescent="0.2">
      <c r="A30" s="169" t="s">
        <v>49</v>
      </c>
      <c r="B30" s="33" t="s">
        <v>33</v>
      </c>
      <c r="C30" s="195">
        <f>SUM(C31:C32)+C34</f>
        <v>242481000</v>
      </c>
      <c r="D30" s="43">
        <f>SUM(D31:D32)+D34</f>
        <v>0</v>
      </c>
      <c r="E30" s="43">
        <f>SUM(E31:E32)+E34</f>
        <v>101000000</v>
      </c>
      <c r="F30" s="43">
        <f t="shared" si="2"/>
        <v>343481000</v>
      </c>
      <c r="G30" s="43">
        <f>SUM(G31:G32)+G34</f>
        <v>0</v>
      </c>
      <c r="H30" s="43">
        <f t="shared" si="0"/>
        <v>343481000</v>
      </c>
      <c r="I30" s="43">
        <f>SUM(I31:I32)+I34</f>
        <v>5616768</v>
      </c>
      <c r="J30" s="43">
        <f>SUM(J31:J32)+J34</f>
        <v>217270456</v>
      </c>
      <c r="K30" s="44">
        <f t="shared" si="1"/>
        <v>0.63255451102098803</v>
      </c>
      <c r="L30" s="43">
        <f>SUM(L31:L32)+L34</f>
        <v>5616768</v>
      </c>
      <c r="M30" s="43">
        <f>SUM(M31:M32)+M34</f>
        <v>217270456</v>
      </c>
      <c r="N30" s="44">
        <f t="shared" si="3"/>
        <v>0.63255451102098803</v>
      </c>
      <c r="O30" s="3" t="s">
        <v>194</v>
      </c>
      <c r="Q30" s="28"/>
    </row>
    <row r="31" spans="1:17" x14ac:dyDescent="0.2">
      <c r="A31" s="170" t="s">
        <v>50</v>
      </c>
      <c r="B31" s="48" t="s">
        <v>152</v>
      </c>
      <c r="C31" s="194">
        <v>100000000</v>
      </c>
      <c r="D31" s="37">
        <v>0</v>
      </c>
      <c r="E31" s="37">
        <v>190000000</v>
      </c>
      <c r="F31" s="37">
        <f t="shared" si="2"/>
        <v>290000000</v>
      </c>
      <c r="G31" s="37">
        <v>0</v>
      </c>
      <c r="H31" s="37">
        <f t="shared" si="0"/>
        <v>290000000</v>
      </c>
      <c r="I31" s="37">
        <v>0</v>
      </c>
      <c r="J31" s="37">
        <v>170761611</v>
      </c>
      <c r="K31" s="38">
        <f t="shared" si="1"/>
        <v>0.58883314137931031</v>
      </c>
      <c r="L31" s="37">
        <v>0</v>
      </c>
      <c r="M31" s="37">
        <v>170761611</v>
      </c>
      <c r="N31" s="38">
        <f t="shared" si="3"/>
        <v>0.58883314137931031</v>
      </c>
      <c r="O31" s="30" t="s">
        <v>195</v>
      </c>
      <c r="Q31" s="28"/>
    </row>
    <row r="32" spans="1:17" x14ac:dyDescent="0.2">
      <c r="A32" s="170" t="s">
        <v>51</v>
      </c>
      <c r="B32" s="47" t="s">
        <v>153</v>
      </c>
      <c r="C32" s="194">
        <v>42481000</v>
      </c>
      <c r="D32" s="37">
        <v>0</v>
      </c>
      <c r="E32" s="37">
        <v>1000000</v>
      </c>
      <c r="F32" s="37">
        <f t="shared" si="2"/>
        <v>43481000</v>
      </c>
      <c r="G32" s="37">
        <v>0</v>
      </c>
      <c r="H32" s="37">
        <f t="shared" si="0"/>
        <v>43481000</v>
      </c>
      <c r="I32" s="37">
        <v>4193268</v>
      </c>
      <c r="J32" s="37">
        <v>41194445</v>
      </c>
      <c r="K32" s="38">
        <f t="shared" si="1"/>
        <v>0.94741254800947539</v>
      </c>
      <c r="L32" s="37">
        <v>4193268</v>
      </c>
      <c r="M32" s="37">
        <v>41194445</v>
      </c>
      <c r="N32" s="38">
        <f t="shared" si="3"/>
        <v>0.94741254800947539</v>
      </c>
      <c r="O32" s="30" t="s">
        <v>195</v>
      </c>
      <c r="Q32" s="28"/>
    </row>
    <row r="33" spans="1:17" x14ac:dyDescent="0.2">
      <c r="A33" s="170" t="s">
        <v>96</v>
      </c>
      <c r="B33" s="47" t="s">
        <v>154</v>
      </c>
      <c r="C33" s="194">
        <v>50000000</v>
      </c>
      <c r="D33" s="37">
        <v>0</v>
      </c>
      <c r="E33" s="37">
        <v>-28000000</v>
      </c>
      <c r="F33" s="37">
        <f t="shared" si="2"/>
        <v>22000000</v>
      </c>
      <c r="G33" s="37">
        <v>0</v>
      </c>
      <c r="H33" s="37">
        <f t="shared" si="0"/>
        <v>22000000</v>
      </c>
      <c r="I33" s="37">
        <v>3759375</v>
      </c>
      <c r="J33" s="37">
        <v>17418389</v>
      </c>
      <c r="K33" s="38">
        <f t="shared" si="1"/>
        <v>0.79174495454545457</v>
      </c>
      <c r="L33" s="37">
        <v>3759375</v>
      </c>
      <c r="M33" s="37">
        <v>17418389</v>
      </c>
      <c r="N33" s="38">
        <f t="shared" si="3"/>
        <v>0.79174495454545457</v>
      </c>
      <c r="O33" s="30" t="s">
        <v>195</v>
      </c>
      <c r="Q33" s="28"/>
    </row>
    <row r="34" spans="1:17" x14ac:dyDescent="0.2">
      <c r="A34" s="170" t="s">
        <v>132</v>
      </c>
      <c r="B34" s="48" t="s">
        <v>155</v>
      </c>
      <c r="C34" s="194">
        <v>100000000</v>
      </c>
      <c r="D34" s="37">
        <v>0</v>
      </c>
      <c r="E34" s="37">
        <v>-90000000</v>
      </c>
      <c r="F34" s="37">
        <f t="shared" si="2"/>
        <v>10000000</v>
      </c>
      <c r="G34" s="37">
        <v>0</v>
      </c>
      <c r="H34" s="37">
        <f t="shared" si="0"/>
        <v>10000000</v>
      </c>
      <c r="I34" s="37">
        <v>1423500</v>
      </c>
      <c r="J34" s="37">
        <v>5314400</v>
      </c>
      <c r="K34" s="38">
        <f t="shared" si="1"/>
        <v>0.53144000000000002</v>
      </c>
      <c r="L34" s="37">
        <v>1423500</v>
      </c>
      <c r="M34" s="37">
        <v>5314400</v>
      </c>
      <c r="N34" s="38">
        <f t="shared" si="3"/>
        <v>0.53144000000000002</v>
      </c>
      <c r="O34" s="30" t="s">
        <v>195</v>
      </c>
      <c r="Q34" s="28"/>
    </row>
    <row r="35" spans="1:17" x14ac:dyDescent="0.2">
      <c r="A35" s="169" t="s">
        <v>52</v>
      </c>
      <c r="B35" s="36" t="s">
        <v>101</v>
      </c>
      <c r="C35" s="195">
        <f t="shared" ref="C35:M35" si="16">+C36</f>
        <v>25601600000</v>
      </c>
      <c r="D35" s="43">
        <f t="shared" si="16"/>
        <v>0</v>
      </c>
      <c r="E35" s="43">
        <f t="shared" si="16"/>
        <v>490142098</v>
      </c>
      <c r="F35" s="43">
        <f t="shared" si="2"/>
        <v>26091742098</v>
      </c>
      <c r="G35" s="43">
        <f t="shared" si="16"/>
        <v>0</v>
      </c>
      <c r="H35" s="43">
        <f t="shared" si="0"/>
        <v>26091742098</v>
      </c>
      <c r="I35" s="43">
        <f t="shared" si="16"/>
        <v>2020361255</v>
      </c>
      <c r="J35" s="43">
        <f t="shared" si="16"/>
        <v>20056214218</v>
      </c>
      <c r="K35" s="44">
        <f t="shared" si="1"/>
        <v>0.76868053281644855</v>
      </c>
      <c r="L35" s="43">
        <f t="shared" si="16"/>
        <v>1817205251</v>
      </c>
      <c r="M35" s="43">
        <f t="shared" si="16"/>
        <v>14546491377</v>
      </c>
      <c r="N35" s="44">
        <f t="shared" si="3"/>
        <v>0.55751322860557584</v>
      </c>
      <c r="O35" s="3" t="s">
        <v>194</v>
      </c>
      <c r="Q35" s="28"/>
    </row>
    <row r="36" spans="1:17" x14ac:dyDescent="0.2">
      <c r="A36" s="169" t="s">
        <v>53</v>
      </c>
      <c r="B36" s="36" t="s">
        <v>102</v>
      </c>
      <c r="C36" s="195">
        <f>SUM(C37,C47)</f>
        <v>25601600000</v>
      </c>
      <c r="D36" s="43">
        <f>SUM(D37,D47)</f>
        <v>0</v>
      </c>
      <c r="E36" s="43">
        <f>SUM(E37,E47)</f>
        <v>490142098</v>
      </c>
      <c r="F36" s="43">
        <f t="shared" si="2"/>
        <v>26091742098</v>
      </c>
      <c r="G36" s="43">
        <f>SUM(G37,G47)</f>
        <v>0</v>
      </c>
      <c r="H36" s="43">
        <f t="shared" si="0"/>
        <v>26091742098</v>
      </c>
      <c r="I36" s="43">
        <f>SUM(I37,I47)</f>
        <v>2020361255</v>
      </c>
      <c r="J36" s="43">
        <f>SUM(J37,J47)</f>
        <v>20056214218</v>
      </c>
      <c r="K36" s="44">
        <f t="shared" si="1"/>
        <v>0.76868053281644855</v>
      </c>
      <c r="L36" s="43">
        <f>SUM(L37,L47)</f>
        <v>1817205251</v>
      </c>
      <c r="M36" s="43">
        <f>SUM(M37,M47)</f>
        <v>14546491377</v>
      </c>
      <c r="N36" s="44">
        <f t="shared" si="3"/>
        <v>0.55751322860557584</v>
      </c>
      <c r="O36" s="3" t="s">
        <v>194</v>
      </c>
      <c r="Q36" s="28"/>
    </row>
    <row r="37" spans="1:17" x14ac:dyDescent="0.2">
      <c r="A37" s="169" t="s">
        <v>54</v>
      </c>
      <c r="B37" s="49" t="s">
        <v>55</v>
      </c>
      <c r="C37" s="196">
        <f>SUM(C38,C41,C44)</f>
        <v>2011206000</v>
      </c>
      <c r="D37" s="45">
        <f>SUM(D38,D41,D44)</f>
        <v>0</v>
      </c>
      <c r="E37" s="45">
        <f>SUM(E38,E41,E44)</f>
        <v>-1038567049</v>
      </c>
      <c r="F37" s="45">
        <f t="shared" si="2"/>
        <v>972638951</v>
      </c>
      <c r="G37" s="45">
        <f>SUM(G38,G41,G44)</f>
        <v>0</v>
      </c>
      <c r="H37" s="45">
        <f t="shared" si="0"/>
        <v>972638951</v>
      </c>
      <c r="I37" s="45">
        <f>SUM(I38,I41,I44)</f>
        <v>100000</v>
      </c>
      <c r="J37" s="45">
        <f>SUM(J38,J41,J44)</f>
        <v>577589293</v>
      </c>
      <c r="K37" s="35">
        <f t="shared" si="1"/>
        <v>0.5938373045888844</v>
      </c>
      <c r="L37" s="45">
        <f>SUM(L38,L41,L44)</f>
        <v>12486930</v>
      </c>
      <c r="M37" s="45">
        <f>SUM(M38,M41,M44)</f>
        <v>547906811</v>
      </c>
      <c r="N37" s="35">
        <f t="shared" si="3"/>
        <v>0.56331983254082119</v>
      </c>
      <c r="O37" s="3" t="s">
        <v>194</v>
      </c>
      <c r="Q37" s="28"/>
    </row>
    <row r="38" spans="1:17" s="2" customFormat="1" ht="25.5" x14ac:dyDescent="0.2">
      <c r="A38" s="169" t="s">
        <v>56</v>
      </c>
      <c r="B38" s="50" t="s">
        <v>156</v>
      </c>
      <c r="C38" s="196">
        <f>+SUM(C39:C40)</f>
        <v>32317000</v>
      </c>
      <c r="D38" s="45">
        <f>+SUM(D39:D40)</f>
        <v>0</v>
      </c>
      <c r="E38" s="45">
        <f>+SUM(E39:E40)</f>
        <v>-4019663</v>
      </c>
      <c r="F38" s="45">
        <f t="shared" si="2"/>
        <v>28297337</v>
      </c>
      <c r="G38" s="45">
        <f>+SUM(G39:G40)</f>
        <v>0</v>
      </c>
      <c r="H38" s="45">
        <f t="shared" si="0"/>
        <v>28297337</v>
      </c>
      <c r="I38" s="45">
        <f>+SUM(I39:I40)</f>
        <v>0</v>
      </c>
      <c r="J38" s="45">
        <f>+SUM(J39:J40)</f>
        <v>16408525</v>
      </c>
      <c r="K38" s="35">
        <f t="shared" si="1"/>
        <v>0.57986110141742309</v>
      </c>
      <c r="L38" s="45">
        <f>+SUM(L39:L40)</f>
        <v>0</v>
      </c>
      <c r="M38" s="45">
        <f>+SUM(M39:M40)</f>
        <v>13704250</v>
      </c>
      <c r="N38" s="35">
        <f t="shared" si="3"/>
        <v>0.48429468822454919</v>
      </c>
      <c r="O38" s="3" t="s">
        <v>194</v>
      </c>
      <c r="P38"/>
      <c r="Q38" s="28"/>
    </row>
    <row r="39" spans="1:17" ht="25.5" x14ac:dyDescent="0.2">
      <c r="A39" s="170" t="s">
        <v>157</v>
      </c>
      <c r="B39" s="48" t="s">
        <v>158</v>
      </c>
      <c r="C39" s="194">
        <v>2317000</v>
      </c>
      <c r="D39" s="37">
        <v>0</v>
      </c>
      <c r="E39" s="37">
        <v>0</v>
      </c>
      <c r="F39" s="37">
        <f t="shared" si="2"/>
        <v>2317000</v>
      </c>
      <c r="G39" s="37">
        <v>0</v>
      </c>
      <c r="H39" s="37">
        <f t="shared" si="0"/>
        <v>2317000</v>
      </c>
      <c r="I39" s="37">
        <v>0</v>
      </c>
      <c r="J39" s="37">
        <v>2310000</v>
      </c>
      <c r="K39" s="38">
        <f t="shared" si="1"/>
        <v>0.99697885196374625</v>
      </c>
      <c r="L39" s="37">
        <v>0</v>
      </c>
      <c r="M39" s="37">
        <v>2310000</v>
      </c>
      <c r="N39" s="38">
        <f t="shared" si="3"/>
        <v>0.99697885196374625</v>
      </c>
      <c r="O39" s="30" t="s">
        <v>195</v>
      </c>
      <c r="Q39" s="28"/>
    </row>
    <row r="40" spans="1:17" s="2" customFormat="1" ht="25.5" x14ac:dyDescent="0.2">
      <c r="A40" s="170" t="s">
        <v>91</v>
      </c>
      <c r="B40" s="48" t="s">
        <v>159</v>
      </c>
      <c r="C40" s="194">
        <v>30000000</v>
      </c>
      <c r="D40" s="37">
        <v>0</v>
      </c>
      <c r="E40" s="37">
        <v>-4019663</v>
      </c>
      <c r="F40" s="37">
        <f t="shared" si="2"/>
        <v>25980337</v>
      </c>
      <c r="G40" s="37">
        <v>0</v>
      </c>
      <c r="H40" s="37">
        <f t="shared" si="0"/>
        <v>25980337</v>
      </c>
      <c r="I40" s="37">
        <v>0</v>
      </c>
      <c r="J40" s="37">
        <v>14098525</v>
      </c>
      <c r="K40" s="38">
        <f t="shared" si="1"/>
        <v>0.54266135962747519</v>
      </c>
      <c r="L40" s="37">
        <v>0</v>
      </c>
      <c r="M40" s="37">
        <v>11394250</v>
      </c>
      <c r="N40" s="38">
        <f t="shared" si="3"/>
        <v>0.43857206317223674</v>
      </c>
      <c r="O40" s="30" t="s">
        <v>195</v>
      </c>
      <c r="P40"/>
      <c r="Q40" s="28"/>
    </row>
    <row r="41" spans="1:17" s="2" customFormat="1" ht="25.5" x14ac:dyDescent="0.2">
      <c r="A41" s="169" t="s">
        <v>57</v>
      </c>
      <c r="B41" s="50" t="s">
        <v>160</v>
      </c>
      <c r="C41" s="196">
        <f t="shared" ref="C41" si="17">SUM(C42:C43)</f>
        <v>480224000</v>
      </c>
      <c r="D41" s="45">
        <f t="shared" ref="D41:M41" si="18">SUM(D42:D43)</f>
        <v>0</v>
      </c>
      <c r="E41" s="45">
        <f t="shared" si="18"/>
        <v>13689069</v>
      </c>
      <c r="F41" s="45">
        <f t="shared" si="2"/>
        <v>493913069</v>
      </c>
      <c r="G41" s="45">
        <f t="shared" si="18"/>
        <v>0</v>
      </c>
      <c r="H41" s="45">
        <f t="shared" si="0"/>
        <v>493913069</v>
      </c>
      <c r="I41" s="45">
        <f t="shared" si="18"/>
        <v>100000</v>
      </c>
      <c r="J41" s="45">
        <f t="shared" si="18"/>
        <v>117122403</v>
      </c>
      <c r="K41" s="35">
        <f t="shared" si="1"/>
        <v>0.23713161353906187</v>
      </c>
      <c r="L41" s="45">
        <f t="shared" si="18"/>
        <v>12486930</v>
      </c>
      <c r="M41" s="45">
        <f t="shared" si="18"/>
        <v>93374941</v>
      </c>
      <c r="N41" s="35">
        <f t="shared" si="3"/>
        <v>0.18905136725588445</v>
      </c>
      <c r="O41" s="3" t="s">
        <v>194</v>
      </c>
      <c r="P41"/>
      <c r="Q41" s="28"/>
    </row>
    <row r="42" spans="1:17" ht="25.5" x14ac:dyDescent="0.2">
      <c r="A42" s="170" t="s">
        <v>58</v>
      </c>
      <c r="B42" s="39" t="s">
        <v>161</v>
      </c>
      <c r="C42" s="194">
        <v>440224000</v>
      </c>
      <c r="D42" s="37">
        <v>0</v>
      </c>
      <c r="E42" s="37">
        <v>27450066</v>
      </c>
      <c r="F42" s="37">
        <f t="shared" si="2"/>
        <v>467674066</v>
      </c>
      <c r="G42" s="37">
        <v>0</v>
      </c>
      <c r="H42" s="37">
        <f t="shared" si="0"/>
        <v>467674066</v>
      </c>
      <c r="I42" s="37">
        <v>100000</v>
      </c>
      <c r="J42" s="37">
        <v>103632675</v>
      </c>
      <c r="K42" s="38">
        <f t="shared" si="1"/>
        <v>0.22159166508069747</v>
      </c>
      <c r="L42" s="37">
        <v>12486930</v>
      </c>
      <c r="M42" s="37">
        <v>80797173</v>
      </c>
      <c r="N42" s="38">
        <f t="shared" si="3"/>
        <v>0.17276385173771855</v>
      </c>
      <c r="O42" s="30" t="s">
        <v>195</v>
      </c>
      <c r="Q42" s="28"/>
    </row>
    <row r="43" spans="1:17" x14ac:dyDescent="0.2">
      <c r="A43" s="170" t="s">
        <v>59</v>
      </c>
      <c r="B43" s="47" t="s">
        <v>162</v>
      </c>
      <c r="C43" s="194">
        <v>40000000</v>
      </c>
      <c r="D43" s="37">
        <v>0</v>
      </c>
      <c r="E43" s="37">
        <v>-13760997</v>
      </c>
      <c r="F43" s="37">
        <f t="shared" si="2"/>
        <v>26239003</v>
      </c>
      <c r="G43" s="37">
        <v>0</v>
      </c>
      <c r="H43" s="37">
        <f t="shared" si="0"/>
        <v>26239003</v>
      </c>
      <c r="I43" s="37">
        <v>0</v>
      </c>
      <c r="J43" s="37">
        <v>13489728</v>
      </c>
      <c r="K43" s="38">
        <f t="shared" si="1"/>
        <v>0.51410977772288069</v>
      </c>
      <c r="L43" s="37">
        <v>0</v>
      </c>
      <c r="M43" s="37">
        <v>12577768</v>
      </c>
      <c r="N43" s="38">
        <f t="shared" si="3"/>
        <v>0.47935388398713169</v>
      </c>
      <c r="O43" s="30" t="s">
        <v>195</v>
      </c>
      <c r="Q43" s="28"/>
    </row>
    <row r="44" spans="1:17" x14ac:dyDescent="0.2">
      <c r="A44" s="169" t="s">
        <v>199</v>
      </c>
      <c r="B44" s="49" t="s">
        <v>200</v>
      </c>
      <c r="C44" s="196">
        <f>SUM(C45:C46)</f>
        <v>1498665000</v>
      </c>
      <c r="D44" s="45">
        <f t="shared" ref="D44:M44" si="19">SUM(D45:D46)</f>
        <v>0</v>
      </c>
      <c r="E44" s="45">
        <f t="shared" si="19"/>
        <v>-1048236455</v>
      </c>
      <c r="F44" s="45">
        <f t="shared" si="2"/>
        <v>450428545</v>
      </c>
      <c r="G44" s="45">
        <f t="shared" si="19"/>
        <v>0</v>
      </c>
      <c r="H44" s="45">
        <f t="shared" si="0"/>
        <v>450428545</v>
      </c>
      <c r="I44" s="45">
        <f t="shared" si="19"/>
        <v>0</v>
      </c>
      <c r="J44" s="45">
        <f t="shared" si="19"/>
        <v>444058365</v>
      </c>
      <c r="K44" s="45">
        <f t="shared" si="1"/>
        <v>0.98585751264942589</v>
      </c>
      <c r="L44" s="45">
        <f t="shared" si="19"/>
        <v>0</v>
      </c>
      <c r="M44" s="45">
        <f t="shared" si="19"/>
        <v>440827620</v>
      </c>
      <c r="N44" s="45">
        <f t="shared" si="3"/>
        <v>0.97868490994503909</v>
      </c>
      <c r="O44" s="3" t="s">
        <v>194</v>
      </c>
      <c r="Q44" s="28"/>
    </row>
    <row r="45" spans="1:17" x14ac:dyDescent="0.2">
      <c r="A45" s="170" t="s">
        <v>201</v>
      </c>
      <c r="B45" s="47" t="s">
        <v>202</v>
      </c>
      <c r="C45" s="194">
        <v>1498665000</v>
      </c>
      <c r="D45" s="37">
        <v>0</v>
      </c>
      <c r="E45" s="37">
        <v>-1061978191</v>
      </c>
      <c r="F45" s="37">
        <f t="shared" si="2"/>
        <v>436686809</v>
      </c>
      <c r="G45" s="37">
        <v>0</v>
      </c>
      <c r="H45" s="37">
        <f t="shared" si="0"/>
        <v>436686809</v>
      </c>
      <c r="I45" s="37">
        <v>0</v>
      </c>
      <c r="J45" s="37">
        <v>430316629</v>
      </c>
      <c r="K45" s="38">
        <f t="shared" si="1"/>
        <v>0.98541247441252566</v>
      </c>
      <c r="L45" s="37">
        <v>0</v>
      </c>
      <c r="M45" s="37">
        <v>427085884</v>
      </c>
      <c r="N45" s="38">
        <f t="shared" si="3"/>
        <v>0.97801416300623822</v>
      </c>
      <c r="O45" s="30" t="s">
        <v>195</v>
      </c>
      <c r="Q45" s="28"/>
    </row>
    <row r="46" spans="1:17" x14ac:dyDescent="0.2">
      <c r="A46" s="170" t="s">
        <v>297</v>
      </c>
      <c r="B46" s="47" t="s">
        <v>298</v>
      </c>
      <c r="C46" s="194">
        <v>0</v>
      </c>
      <c r="D46" s="37">
        <v>0</v>
      </c>
      <c r="E46" s="37">
        <v>13741736</v>
      </c>
      <c r="F46" s="37">
        <f t="shared" si="2"/>
        <v>13741736</v>
      </c>
      <c r="G46" s="37">
        <v>0</v>
      </c>
      <c r="H46" s="37">
        <f t="shared" si="0"/>
        <v>13741736</v>
      </c>
      <c r="I46" s="37">
        <v>0</v>
      </c>
      <c r="J46" s="37">
        <v>13741736</v>
      </c>
      <c r="K46" s="38">
        <f t="shared" si="1"/>
        <v>1</v>
      </c>
      <c r="L46" s="37">
        <v>0</v>
      </c>
      <c r="M46" s="37">
        <v>13741736</v>
      </c>
      <c r="N46" s="38">
        <f t="shared" si="3"/>
        <v>1</v>
      </c>
      <c r="O46" s="30" t="s">
        <v>195</v>
      </c>
      <c r="Q46" s="28"/>
    </row>
    <row r="47" spans="1:17" x14ac:dyDescent="0.2">
      <c r="A47" s="169" t="s">
        <v>60</v>
      </c>
      <c r="B47" s="50" t="s">
        <v>61</v>
      </c>
      <c r="C47" s="196">
        <f>SUM(C48,C51,C54,C57,C60)</f>
        <v>23590394000</v>
      </c>
      <c r="D47" s="45">
        <f t="shared" ref="D47:M47" si="20">SUM(D48,D51,D54,D57,D60)</f>
        <v>0</v>
      </c>
      <c r="E47" s="45">
        <f t="shared" si="20"/>
        <v>1528709147</v>
      </c>
      <c r="F47" s="45">
        <f t="shared" si="2"/>
        <v>25119103147</v>
      </c>
      <c r="G47" s="45">
        <f t="shared" si="20"/>
        <v>0</v>
      </c>
      <c r="H47" s="45">
        <f t="shared" si="0"/>
        <v>25119103147</v>
      </c>
      <c r="I47" s="45">
        <f t="shared" si="20"/>
        <v>2020261255</v>
      </c>
      <c r="J47" s="45">
        <f t="shared" si="20"/>
        <v>19478624925</v>
      </c>
      <c r="K47" s="35">
        <f t="shared" si="1"/>
        <v>0.77545065247786726</v>
      </c>
      <c r="L47" s="45">
        <f t="shared" si="20"/>
        <v>1804718321</v>
      </c>
      <c r="M47" s="45">
        <f t="shared" si="20"/>
        <v>13998584566</v>
      </c>
      <c r="N47" s="35">
        <f t="shared" si="3"/>
        <v>0.55728839059573931</v>
      </c>
      <c r="O47" s="3" t="s">
        <v>194</v>
      </c>
      <c r="Q47" s="28"/>
    </row>
    <row r="48" spans="1:17" s="2" customFormat="1" ht="38.25" x14ac:dyDescent="0.2">
      <c r="A48" s="169" t="s">
        <v>62</v>
      </c>
      <c r="B48" s="50" t="s">
        <v>163</v>
      </c>
      <c r="C48" s="196">
        <f>SUM(C49:C50)</f>
        <v>394780000</v>
      </c>
      <c r="D48" s="45">
        <f>SUM(D49:D50)</f>
        <v>0</v>
      </c>
      <c r="E48" s="45">
        <f>SUM(E49:E50)</f>
        <v>-275995119</v>
      </c>
      <c r="F48" s="45">
        <f t="shared" si="2"/>
        <v>118784881</v>
      </c>
      <c r="G48" s="45">
        <f>SUM(G49:G50)</f>
        <v>0</v>
      </c>
      <c r="H48" s="45">
        <f t="shared" si="0"/>
        <v>118784881</v>
      </c>
      <c r="I48" s="45">
        <f>SUM(I49:I50)</f>
        <v>2254013</v>
      </c>
      <c r="J48" s="45">
        <f>SUM(J49:J50)</f>
        <v>47318092</v>
      </c>
      <c r="K48" s="35">
        <f t="shared" si="1"/>
        <v>0.39835113359249819</v>
      </c>
      <c r="L48" s="45">
        <f>SUM(L49:L50)</f>
        <v>2254013</v>
      </c>
      <c r="M48" s="45">
        <f>SUM(M49:M50)</f>
        <v>44249092</v>
      </c>
      <c r="N48" s="35">
        <f t="shared" si="3"/>
        <v>0.37251451217937409</v>
      </c>
      <c r="O48" s="3" t="s">
        <v>194</v>
      </c>
      <c r="P48"/>
      <c r="Q48" s="28"/>
    </row>
    <row r="49" spans="1:17" s="2" customFormat="1" ht="38.25" x14ac:dyDescent="0.2">
      <c r="A49" s="170" t="s">
        <v>63</v>
      </c>
      <c r="B49" s="48" t="s">
        <v>163</v>
      </c>
      <c r="C49" s="194">
        <v>354780000</v>
      </c>
      <c r="D49" s="37">
        <v>0</v>
      </c>
      <c r="E49" s="37">
        <v>-250247639</v>
      </c>
      <c r="F49" s="37">
        <f t="shared" si="2"/>
        <v>104532361</v>
      </c>
      <c r="G49" s="37">
        <v>0</v>
      </c>
      <c r="H49" s="37">
        <f t="shared" si="0"/>
        <v>104532361</v>
      </c>
      <c r="I49" s="37">
        <v>2254013</v>
      </c>
      <c r="J49" s="37">
        <v>33065572</v>
      </c>
      <c r="K49" s="38">
        <f t="shared" si="1"/>
        <v>0.3163190009646869</v>
      </c>
      <c r="L49" s="37">
        <v>2254013</v>
      </c>
      <c r="M49" s="37">
        <v>29996572</v>
      </c>
      <c r="N49" s="38">
        <f t="shared" si="3"/>
        <v>0.28695967175179371</v>
      </c>
      <c r="O49" s="30" t="s">
        <v>195</v>
      </c>
      <c r="P49"/>
      <c r="Q49" s="28"/>
    </row>
    <row r="50" spans="1:17" ht="38.25" x14ac:dyDescent="0.2">
      <c r="A50" s="170" t="s">
        <v>64</v>
      </c>
      <c r="B50" s="48" t="s">
        <v>163</v>
      </c>
      <c r="C50" s="194">
        <v>40000000</v>
      </c>
      <c r="D50" s="37">
        <v>0</v>
      </c>
      <c r="E50" s="37">
        <v>-25747480</v>
      </c>
      <c r="F50" s="37">
        <f t="shared" si="2"/>
        <v>14252520</v>
      </c>
      <c r="G50" s="37">
        <v>0</v>
      </c>
      <c r="H50" s="37">
        <f t="shared" si="0"/>
        <v>14252520</v>
      </c>
      <c r="I50" s="37">
        <v>0</v>
      </c>
      <c r="J50" s="37">
        <v>14252520</v>
      </c>
      <c r="K50" s="38">
        <f t="shared" si="1"/>
        <v>1</v>
      </c>
      <c r="L50" s="37">
        <v>0</v>
      </c>
      <c r="M50" s="37">
        <v>14252520</v>
      </c>
      <c r="N50" s="38">
        <f t="shared" si="3"/>
        <v>1</v>
      </c>
      <c r="O50" s="30" t="s">
        <v>195</v>
      </c>
      <c r="Q50" s="28"/>
    </row>
    <row r="51" spans="1:17" s="2" customFormat="1" ht="25.5" x14ac:dyDescent="0.2">
      <c r="A51" s="169" t="s">
        <v>65</v>
      </c>
      <c r="B51" s="50" t="s">
        <v>164</v>
      </c>
      <c r="C51" s="196">
        <f t="shared" ref="C51" si="21">SUM(C52:C53)</f>
        <v>5463686000</v>
      </c>
      <c r="D51" s="45">
        <f t="shared" ref="D51:M51" si="22">SUM(D52:D53)</f>
        <v>0</v>
      </c>
      <c r="E51" s="45">
        <f t="shared" si="22"/>
        <v>2148040714</v>
      </c>
      <c r="F51" s="45">
        <f t="shared" si="2"/>
        <v>7611726714</v>
      </c>
      <c r="G51" s="45">
        <f t="shared" si="22"/>
        <v>0</v>
      </c>
      <c r="H51" s="45">
        <f t="shared" si="0"/>
        <v>7611726714</v>
      </c>
      <c r="I51" s="45">
        <f t="shared" si="22"/>
        <v>-5</v>
      </c>
      <c r="J51" s="45">
        <f t="shared" si="22"/>
        <v>5242190991</v>
      </c>
      <c r="K51" s="35">
        <f t="shared" si="1"/>
        <v>0.68869931724666489</v>
      </c>
      <c r="L51" s="45">
        <f t="shared" si="22"/>
        <v>458983466</v>
      </c>
      <c r="M51" s="45">
        <f t="shared" si="22"/>
        <v>4732308774</v>
      </c>
      <c r="N51" s="35">
        <f t="shared" si="3"/>
        <v>0.62171291111857963</v>
      </c>
      <c r="O51" s="3" t="s">
        <v>194</v>
      </c>
      <c r="P51"/>
      <c r="Q51" s="28"/>
    </row>
    <row r="52" spans="1:17" s="2" customFormat="1" ht="25.5" x14ac:dyDescent="0.2">
      <c r="A52" s="170" t="s">
        <v>66</v>
      </c>
      <c r="B52" s="48" t="s">
        <v>165</v>
      </c>
      <c r="C52" s="194">
        <v>4603686000</v>
      </c>
      <c r="D52" s="37">
        <v>0</v>
      </c>
      <c r="E52" s="37">
        <v>2515387596</v>
      </c>
      <c r="F52" s="37">
        <f t="shared" si="2"/>
        <v>7119073596</v>
      </c>
      <c r="G52" s="37">
        <v>0</v>
      </c>
      <c r="H52" s="37">
        <f t="shared" si="0"/>
        <v>7119073596</v>
      </c>
      <c r="I52" s="37">
        <v>-5</v>
      </c>
      <c r="J52" s="37">
        <v>4809868371</v>
      </c>
      <c r="K52" s="38">
        <f t="shared" si="1"/>
        <v>0.67563121888535116</v>
      </c>
      <c r="L52" s="37">
        <v>458983466</v>
      </c>
      <c r="M52" s="37">
        <v>4299986154</v>
      </c>
      <c r="N52" s="38">
        <f t="shared" si="3"/>
        <v>0.60400922901204968</v>
      </c>
      <c r="O52" s="30" t="s">
        <v>195</v>
      </c>
      <c r="P52"/>
      <c r="Q52" s="28"/>
    </row>
    <row r="53" spans="1:17" ht="25.5" x14ac:dyDescent="0.2">
      <c r="A53" s="170" t="s">
        <v>67</v>
      </c>
      <c r="B53" s="48" t="s">
        <v>166</v>
      </c>
      <c r="C53" s="194">
        <v>860000000</v>
      </c>
      <c r="D53" s="37">
        <v>0</v>
      </c>
      <c r="E53" s="37">
        <v>-367346882</v>
      </c>
      <c r="F53" s="37">
        <f t="shared" si="2"/>
        <v>492653118</v>
      </c>
      <c r="G53" s="37">
        <v>0</v>
      </c>
      <c r="H53" s="37">
        <f t="shared" si="0"/>
        <v>492653118</v>
      </c>
      <c r="I53" s="37">
        <v>0</v>
      </c>
      <c r="J53" s="37">
        <v>432322620</v>
      </c>
      <c r="K53" s="38">
        <f t="shared" si="1"/>
        <v>0.8775395997798191</v>
      </c>
      <c r="L53" s="37">
        <v>0</v>
      </c>
      <c r="M53" s="37">
        <v>432322620</v>
      </c>
      <c r="N53" s="38">
        <f t="shared" si="3"/>
        <v>0.8775395997798191</v>
      </c>
      <c r="O53" s="30" t="s">
        <v>195</v>
      </c>
      <c r="Q53" s="28"/>
    </row>
    <row r="54" spans="1:17" s="2" customFormat="1" ht="25.5" x14ac:dyDescent="0.2">
      <c r="A54" s="169" t="s">
        <v>68</v>
      </c>
      <c r="B54" s="50" t="s">
        <v>167</v>
      </c>
      <c r="C54" s="196">
        <f t="shared" ref="C54:D54" si="23">SUM(C55:C56)</f>
        <v>16118213000</v>
      </c>
      <c r="D54" s="45">
        <f t="shared" si="23"/>
        <v>0</v>
      </c>
      <c r="E54" s="45">
        <f t="shared" ref="E54:M54" si="24">SUM(E55:E56)</f>
        <v>-497376219</v>
      </c>
      <c r="F54" s="45">
        <f t="shared" si="2"/>
        <v>15620836781</v>
      </c>
      <c r="G54" s="45">
        <f t="shared" si="24"/>
        <v>0</v>
      </c>
      <c r="H54" s="45">
        <f t="shared" si="0"/>
        <v>15620836781</v>
      </c>
      <c r="I54" s="45">
        <f t="shared" si="24"/>
        <v>1957075960</v>
      </c>
      <c r="J54" s="45">
        <f t="shared" si="24"/>
        <v>12979007214</v>
      </c>
      <c r="K54" s="35">
        <f t="shared" si="1"/>
        <v>0.83087784578779278</v>
      </c>
      <c r="L54" s="45">
        <f t="shared" si="24"/>
        <v>1198008184</v>
      </c>
      <c r="M54" s="45">
        <f t="shared" si="24"/>
        <v>8485172498</v>
      </c>
      <c r="N54" s="35">
        <f t="shared" si="3"/>
        <v>0.54319577222141646</v>
      </c>
      <c r="O54" s="3" t="s">
        <v>194</v>
      </c>
      <c r="P54"/>
      <c r="Q54" s="28"/>
    </row>
    <row r="55" spans="1:17" s="2" customFormat="1" ht="25.5" x14ac:dyDescent="0.2">
      <c r="A55" s="170" t="s">
        <v>69</v>
      </c>
      <c r="B55" s="48" t="s">
        <v>168</v>
      </c>
      <c r="C55" s="194">
        <v>10844985000</v>
      </c>
      <c r="D55" s="37">
        <v>0</v>
      </c>
      <c r="E55" s="37">
        <v>2635113161</v>
      </c>
      <c r="F55" s="37">
        <f t="shared" si="2"/>
        <v>13480098161</v>
      </c>
      <c r="G55" s="37">
        <v>0</v>
      </c>
      <c r="H55" s="37">
        <f t="shared" si="0"/>
        <v>13480098161</v>
      </c>
      <c r="I55" s="37">
        <v>2000754950</v>
      </c>
      <c r="J55" s="37">
        <v>10933903240</v>
      </c>
      <c r="K55" s="38">
        <f t="shared" si="1"/>
        <v>0.81111451188341244</v>
      </c>
      <c r="L55" s="37">
        <v>1166889746</v>
      </c>
      <c r="M55" s="37">
        <v>6750257209</v>
      </c>
      <c r="N55" s="38">
        <f t="shared" si="3"/>
        <v>0.50075727404786519</v>
      </c>
      <c r="O55" s="30" t="s">
        <v>195</v>
      </c>
      <c r="P55"/>
      <c r="Q55" s="28"/>
    </row>
    <row r="56" spans="1:17" ht="25.5" x14ac:dyDescent="0.2">
      <c r="A56" s="170" t="s">
        <v>70</v>
      </c>
      <c r="B56" s="39" t="s">
        <v>169</v>
      </c>
      <c r="C56" s="194">
        <v>5273228000</v>
      </c>
      <c r="D56" s="37">
        <v>0</v>
      </c>
      <c r="E56" s="37">
        <v>-3132489380</v>
      </c>
      <c r="F56" s="37">
        <f t="shared" si="2"/>
        <v>2140738620</v>
      </c>
      <c r="G56" s="37">
        <v>0</v>
      </c>
      <c r="H56" s="37">
        <f t="shared" si="0"/>
        <v>2140738620</v>
      </c>
      <c r="I56" s="37">
        <v>-43678990</v>
      </c>
      <c r="J56" s="37">
        <v>2045103974</v>
      </c>
      <c r="K56" s="38">
        <f t="shared" si="1"/>
        <v>0.95532633217968477</v>
      </c>
      <c r="L56" s="37">
        <v>31118438</v>
      </c>
      <c r="M56" s="37">
        <v>1734915289</v>
      </c>
      <c r="N56" s="38">
        <f t="shared" si="3"/>
        <v>0.81042836000221274</v>
      </c>
      <c r="O56" s="30" t="s">
        <v>195</v>
      </c>
      <c r="Q56" s="28"/>
    </row>
    <row r="57" spans="1:17" s="2" customFormat="1" ht="25.5" x14ac:dyDescent="0.2">
      <c r="A57" s="169" t="s">
        <v>71</v>
      </c>
      <c r="B57" s="50" t="s">
        <v>170</v>
      </c>
      <c r="C57" s="196">
        <f t="shared" ref="C57" si="25">SUM(C58:C59)</f>
        <v>1467412000</v>
      </c>
      <c r="D57" s="45">
        <f t="shared" ref="D57:M57" si="26">SUM(D58:D59)</f>
        <v>0</v>
      </c>
      <c r="E57" s="45">
        <f t="shared" si="26"/>
        <v>114058442</v>
      </c>
      <c r="F57" s="45">
        <f t="shared" si="2"/>
        <v>1581470442</v>
      </c>
      <c r="G57" s="45">
        <f t="shared" si="26"/>
        <v>0</v>
      </c>
      <c r="H57" s="45">
        <f t="shared" si="0"/>
        <v>1581470442</v>
      </c>
      <c r="I57" s="45">
        <f t="shared" si="26"/>
        <v>67735900</v>
      </c>
      <c r="J57" s="45">
        <f t="shared" si="26"/>
        <v>1118541176</v>
      </c>
      <c r="K57" s="35">
        <f t="shared" si="1"/>
        <v>0.70727921704653651</v>
      </c>
      <c r="L57" s="45">
        <f t="shared" si="26"/>
        <v>145472658</v>
      </c>
      <c r="M57" s="45">
        <f t="shared" si="26"/>
        <v>673977596</v>
      </c>
      <c r="N57" s="35">
        <f t="shared" si="3"/>
        <v>0.4261714782020567</v>
      </c>
      <c r="O57" s="3" t="s">
        <v>194</v>
      </c>
      <c r="P57"/>
      <c r="Q57" s="28"/>
    </row>
    <row r="58" spans="1:17" x14ac:dyDescent="0.2">
      <c r="A58" s="170" t="s">
        <v>72</v>
      </c>
      <c r="B58" s="42" t="s">
        <v>171</v>
      </c>
      <c r="C58" s="194">
        <v>667412000</v>
      </c>
      <c r="D58" s="37">
        <v>0</v>
      </c>
      <c r="E58" s="37">
        <v>450666020</v>
      </c>
      <c r="F58" s="37">
        <f t="shared" si="2"/>
        <v>1118078020</v>
      </c>
      <c r="G58" s="37">
        <v>0</v>
      </c>
      <c r="H58" s="37">
        <f t="shared" si="0"/>
        <v>1118078020</v>
      </c>
      <c r="I58" s="37">
        <v>68735900</v>
      </c>
      <c r="J58" s="37">
        <v>693881767</v>
      </c>
      <c r="K58" s="38">
        <f t="shared" si="1"/>
        <v>0.62060227872112184</v>
      </c>
      <c r="L58" s="37">
        <v>135126158</v>
      </c>
      <c r="M58" s="37">
        <v>287195897</v>
      </c>
      <c r="N58" s="38">
        <f t="shared" si="3"/>
        <v>0.2568657033433141</v>
      </c>
      <c r="O58" s="30" t="s">
        <v>195</v>
      </c>
      <c r="Q58" s="28"/>
    </row>
    <row r="59" spans="1:17" x14ac:dyDescent="0.2">
      <c r="A59" s="170" t="s">
        <v>73</v>
      </c>
      <c r="B59" s="42" t="s">
        <v>172</v>
      </c>
      <c r="C59" s="194">
        <v>800000000</v>
      </c>
      <c r="D59" s="37">
        <v>0</v>
      </c>
      <c r="E59" s="37">
        <v>-336607578</v>
      </c>
      <c r="F59" s="37">
        <f t="shared" si="2"/>
        <v>463392422</v>
      </c>
      <c r="G59" s="37">
        <v>0</v>
      </c>
      <c r="H59" s="37">
        <f t="shared" si="0"/>
        <v>463392422</v>
      </c>
      <c r="I59" s="37">
        <v>-1000000</v>
      </c>
      <c r="J59" s="37">
        <v>424659409</v>
      </c>
      <c r="K59" s="38">
        <f t="shared" si="1"/>
        <v>0.91641422871606648</v>
      </c>
      <c r="L59" s="37">
        <v>10346500</v>
      </c>
      <c r="M59" s="37">
        <v>386781699</v>
      </c>
      <c r="N59" s="38">
        <f t="shared" si="3"/>
        <v>0.8346741997433873</v>
      </c>
      <c r="O59" s="30" t="s">
        <v>195</v>
      </c>
      <c r="Q59" s="28"/>
    </row>
    <row r="60" spans="1:17" s="2" customFormat="1" x14ac:dyDescent="0.2">
      <c r="A60" s="169" t="s">
        <v>131</v>
      </c>
      <c r="B60" s="50" t="s">
        <v>173</v>
      </c>
      <c r="C60" s="196">
        <f>SUM(C61:C62)</f>
        <v>146303000</v>
      </c>
      <c r="D60" s="45">
        <f t="shared" ref="D60:M60" si="27">SUM(D61:D62)</f>
        <v>0</v>
      </c>
      <c r="E60" s="45">
        <f t="shared" si="27"/>
        <v>39981329</v>
      </c>
      <c r="F60" s="45">
        <f t="shared" si="2"/>
        <v>186284329</v>
      </c>
      <c r="G60" s="45">
        <f t="shared" si="27"/>
        <v>0</v>
      </c>
      <c r="H60" s="45">
        <f t="shared" si="0"/>
        <v>186284329</v>
      </c>
      <c r="I60" s="45">
        <f t="shared" si="27"/>
        <v>-6804613</v>
      </c>
      <c r="J60" s="45">
        <f t="shared" si="27"/>
        <v>91567452</v>
      </c>
      <c r="K60" s="35">
        <f t="shared" si="1"/>
        <v>0.49154672586549136</v>
      </c>
      <c r="L60" s="45">
        <f t="shared" si="27"/>
        <v>0</v>
      </c>
      <c r="M60" s="45">
        <f t="shared" si="27"/>
        <v>62876606</v>
      </c>
      <c r="N60" s="35">
        <f t="shared" si="3"/>
        <v>0.33753030293815001</v>
      </c>
      <c r="O60" s="3" t="s">
        <v>194</v>
      </c>
      <c r="P60"/>
      <c r="Q60" s="28"/>
    </row>
    <row r="61" spans="1:17" s="2" customFormat="1" ht="25.5" x14ac:dyDescent="0.2">
      <c r="A61" s="170" t="s">
        <v>285</v>
      </c>
      <c r="B61" s="48" t="s">
        <v>286</v>
      </c>
      <c r="C61" s="194">
        <v>116303000</v>
      </c>
      <c r="D61" s="37">
        <v>0</v>
      </c>
      <c r="E61" s="37">
        <v>49708000</v>
      </c>
      <c r="F61" s="37">
        <f t="shared" si="2"/>
        <v>166011000</v>
      </c>
      <c r="G61" s="37">
        <v>0</v>
      </c>
      <c r="H61" s="37">
        <f t="shared" si="0"/>
        <v>166011000</v>
      </c>
      <c r="I61" s="37">
        <v>0</v>
      </c>
      <c r="J61" s="37">
        <v>78098736</v>
      </c>
      <c r="K61" s="38">
        <f t="shared" si="1"/>
        <v>0.47044313931004572</v>
      </c>
      <c r="L61" s="37">
        <v>0</v>
      </c>
      <c r="M61" s="37">
        <v>49407890</v>
      </c>
      <c r="N61" s="38">
        <f t="shared" si="3"/>
        <v>0.29761816988030915</v>
      </c>
      <c r="O61" s="30" t="s">
        <v>195</v>
      </c>
      <c r="P61"/>
      <c r="Q61" s="28"/>
    </row>
    <row r="62" spans="1:17" s="2" customFormat="1" ht="25.5" x14ac:dyDescent="0.2">
      <c r="A62" s="170" t="s">
        <v>238</v>
      </c>
      <c r="B62" s="48" t="s">
        <v>239</v>
      </c>
      <c r="C62" s="194">
        <v>30000000</v>
      </c>
      <c r="D62" s="37">
        <v>0</v>
      </c>
      <c r="E62" s="37">
        <v>-9726671</v>
      </c>
      <c r="F62" s="37">
        <f t="shared" si="2"/>
        <v>20273329</v>
      </c>
      <c r="G62" s="37">
        <v>0</v>
      </c>
      <c r="H62" s="37">
        <f t="shared" si="0"/>
        <v>20273329</v>
      </c>
      <c r="I62" s="37">
        <v>-6804613</v>
      </c>
      <c r="J62" s="37">
        <v>13468716</v>
      </c>
      <c r="K62" s="38">
        <f t="shared" si="1"/>
        <v>0.6643564063898928</v>
      </c>
      <c r="L62" s="37">
        <v>0</v>
      </c>
      <c r="M62" s="37">
        <v>13468716</v>
      </c>
      <c r="N62" s="38">
        <f t="shared" si="3"/>
        <v>0.6643564063898928</v>
      </c>
      <c r="O62" s="30" t="s">
        <v>195</v>
      </c>
      <c r="P62"/>
      <c r="Q62" s="28"/>
    </row>
    <row r="63" spans="1:17" x14ac:dyDescent="0.2">
      <c r="A63" s="169" t="s">
        <v>74</v>
      </c>
      <c r="B63" s="49" t="s">
        <v>75</v>
      </c>
      <c r="C63" s="196">
        <f t="shared" ref="C63:M63" si="28">+C64</f>
        <v>1800000000</v>
      </c>
      <c r="D63" s="45">
        <f t="shared" si="28"/>
        <v>0</v>
      </c>
      <c r="E63" s="45">
        <f t="shared" si="28"/>
        <v>-471206471</v>
      </c>
      <c r="F63" s="45">
        <f t="shared" si="2"/>
        <v>1328793529</v>
      </c>
      <c r="G63" s="45">
        <f t="shared" si="28"/>
        <v>0</v>
      </c>
      <c r="H63" s="45">
        <f t="shared" si="0"/>
        <v>1328793529</v>
      </c>
      <c r="I63" s="45">
        <f t="shared" si="28"/>
        <v>4527273</v>
      </c>
      <c r="J63" s="45">
        <f t="shared" si="28"/>
        <v>4527273</v>
      </c>
      <c r="K63" s="35">
        <f t="shared" si="1"/>
        <v>3.4070552732199527E-3</v>
      </c>
      <c r="L63" s="45">
        <f t="shared" si="28"/>
        <v>4527273</v>
      </c>
      <c r="M63" s="45">
        <f t="shared" si="28"/>
        <v>4527273</v>
      </c>
      <c r="N63" s="35">
        <f t="shared" si="3"/>
        <v>3.4070552732199527E-3</v>
      </c>
      <c r="O63" s="3" t="s">
        <v>194</v>
      </c>
      <c r="Q63" s="28"/>
    </row>
    <row r="64" spans="1:17" x14ac:dyDescent="0.2">
      <c r="A64" s="169" t="s">
        <v>76</v>
      </c>
      <c r="B64" s="33" t="s">
        <v>77</v>
      </c>
      <c r="C64" s="195">
        <f t="shared" ref="C64:M65" si="29">C65</f>
        <v>1800000000</v>
      </c>
      <c r="D64" s="43">
        <f t="shared" si="29"/>
        <v>0</v>
      </c>
      <c r="E64" s="43">
        <f t="shared" si="29"/>
        <v>-471206471</v>
      </c>
      <c r="F64" s="43">
        <f t="shared" si="2"/>
        <v>1328793529</v>
      </c>
      <c r="G64" s="43">
        <f t="shared" si="29"/>
        <v>0</v>
      </c>
      <c r="H64" s="43">
        <f t="shared" si="0"/>
        <v>1328793529</v>
      </c>
      <c r="I64" s="43">
        <f t="shared" si="29"/>
        <v>4527273</v>
      </c>
      <c r="J64" s="43">
        <f t="shared" si="29"/>
        <v>4527273</v>
      </c>
      <c r="K64" s="44">
        <f t="shared" si="1"/>
        <v>3.4070552732199527E-3</v>
      </c>
      <c r="L64" s="43">
        <f t="shared" si="29"/>
        <v>4527273</v>
      </c>
      <c r="M64" s="43">
        <f t="shared" si="29"/>
        <v>4527273</v>
      </c>
      <c r="N64" s="44">
        <f t="shared" si="3"/>
        <v>3.4070552732199527E-3</v>
      </c>
      <c r="O64" s="3" t="s">
        <v>194</v>
      </c>
      <c r="Q64" s="28"/>
    </row>
    <row r="65" spans="1:17" x14ac:dyDescent="0.2">
      <c r="A65" s="169" t="s">
        <v>78</v>
      </c>
      <c r="B65" s="36" t="s">
        <v>79</v>
      </c>
      <c r="C65" s="195">
        <f t="shared" si="29"/>
        <v>1800000000</v>
      </c>
      <c r="D65" s="43">
        <f t="shared" si="29"/>
        <v>0</v>
      </c>
      <c r="E65" s="43">
        <f t="shared" si="29"/>
        <v>-471206471</v>
      </c>
      <c r="F65" s="43">
        <f t="shared" si="2"/>
        <v>1328793529</v>
      </c>
      <c r="G65" s="43">
        <f t="shared" si="29"/>
        <v>0</v>
      </c>
      <c r="H65" s="43">
        <f t="shared" si="0"/>
        <v>1328793529</v>
      </c>
      <c r="I65" s="43">
        <f t="shared" si="29"/>
        <v>4527273</v>
      </c>
      <c r="J65" s="43">
        <f t="shared" si="29"/>
        <v>4527273</v>
      </c>
      <c r="K65" s="44">
        <f t="shared" si="1"/>
        <v>3.4070552732199527E-3</v>
      </c>
      <c r="L65" s="43">
        <f t="shared" si="29"/>
        <v>4527273</v>
      </c>
      <c r="M65" s="43">
        <f t="shared" si="29"/>
        <v>4527273</v>
      </c>
      <c r="N65" s="44">
        <f t="shared" si="3"/>
        <v>3.4070552732199527E-3</v>
      </c>
      <c r="O65" s="3" t="s">
        <v>194</v>
      </c>
      <c r="Q65" s="28"/>
    </row>
    <row r="66" spans="1:17" x14ac:dyDescent="0.2">
      <c r="A66" s="170" t="s">
        <v>80</v>
      </c>
      <c r="B66" s="47" t="s">
        <v>174</v>
      </c>
      <c r="C66" s="194">
        <v>1800000000</v>
      </c>
      <c r="D66" s="37">
        <v>0</v>
      </c>
      <c r="E66" s="37">
        <v>-471206471</v>
      </c>
      <c r="F66" s="37">
        <f t="shared" si="2"/>
        <v>1328793529</v>
      </c>
      <c r="G66" s="37">
        <v>0</v>
      </c>
      <c r="H66" s="37">
        <f t="shared" si="0"/>
        <v>1328793529</v>
      </c>
      <c r="I66" s="37">
        <v>4527273</v>
      </c>
      <c r="J66" s="37">
        <v>4527273</v>
      </c>
      <c r="K66" s="38">
        <f t="shared" si="1"/>
        <v>3.4070552732199527E-3</v>
      </c>
      <c r="L66" s="37">
        <v>4527273</v>
      </c>
      <c r="M66" s="37">
        <v>4527273</v>
      </c>
      <c r="N66" s="38">
        <f t="shared" si="3"/>
        <v>3.4070552732199527E-3</v>
      </c>
      <c r="O66" s="30" t="s">
        <v>195</v>
      </c>
      <c r="Q66" s="28"/>
    </row>
    <row r="67" spans="1:17" ht="25.5" x14ac:dyDescent="0.2">
      <c r="A67" s="169" t="s">
        <v>81</v>
      </c>
      <c r="B67" s="50" t="s">
        <v>175</v>
      </c>
      <c r="C67" s="196">
        <f t="shared" ref="C67:M67" si="30">C68</f>
        <v>7013635000</v>
      </c>
      <c r="D67" s="45">
        <f t="shared" si="30"/>
        <v>0</v>
      </c>
      <c r="E67" s="45">
        <f t="shared" si="30"/>
        <v>5625041507</v>
      </c>
      <c r="F67" s="45">
        <f t="shared" ref="F67:F114" si="31">C67+E67</f>
        <v>12638676507</v>
      </c>
      <c r="G67" s="45">
        <f t="shared" si="30"/>
        <v>0</v>
      </c>
      <c r="H67" s="45">
        <f t="shared" si="0"/>
        <v>12638676507</v>
      </c>
      <c r="I67" s="45">
        <f t="shared" si="30"/>
        <v>153681000</v>
      </c>
      <c r="J67" s="45">
        <f t="shared" si="30"/>
        <v>6165855000</v>
      </c>
      <c r="K67" s="35">
        <f t="shared" si="1"/>
        <v>0.4878560659880018</v>
      </c>
      <c r="L67" s="45">
        <f t="shared" si="30"/>
        <v>153681000</v>
      </c>
      <c r="M67" s="45">
        <f t="shared" si="30"/>
        <v>6165855000</v>
      </c>
      <c r="N67" s="35">
        <f t="shared" ref="N67:N114" si="32">IFERROR(M67/H67,0)</f>
        <v>0.4878560659880018</v>
      </c>
      <c r="O67" s="3" t="s">
        <v>194</v>
      </c>
      <c r="Q67" s="28"/>
    </row>
    <row r="68" spans="1:17" x14ac:dyDescent="0.2">
      <c r="A68" s="169" t="s">
        <v>82</v>
      </c>
      <c r="B68" s="50" t="s">
        <v>83</v>
      </c>
      <c r="C68" s="196">
        <f>SUM(C69:C71)</f>
        <v>7013635000</v>
      </c>
      <c r="D68" s="45">
        <f>SUM(D69:D71)</f>
        <v>0</v>
      </c>
      <c r="E68" s="45">
        <f>SUM(E69:E71)</f>
        <v>5625041507</v>
      </c>
      <c r="F68" s="45">
        <f t="shared" si="31"/>
        <v>12638676507</v>
      </c>
      <c r="G68" s="45">
        <f>SUM(G69:G71)</f>
        <v>0</v>
      </c>
      <c r="H68" s="45">
        <f t="shared" si="0"/>
        <v>12638676507</v>
      </c>
      <c r="I68" s="45">
        <f>SUM(I69:I71)</f>
        <v>153681000</v>
      </c>
      <c r="J68" s="45">
        <f>SUM(J69:J71)</f>
        <v>6165855000</v>
      </c>
      <c r="K68" s="35">
        <f t="shared" si="1"/>
        <v>0.4878560659880018</v>
      </c>
      <c r="L68" s="45">
        <f>SUM(L69:L71)</f>
        <v>153681000</v>
      </c>
      <c r="M68" s="45">
        <f>SUM(M69:M71)</f>
        <v>6165855000</v>
      </c>
      <c r="N68" s="35">
        <f t="shared" si="32"/>
        <v>0.4878560659880018</v>
      </c>
      <c r="O68" s="3" t="s">
        <v>194</v>
      </c>
      <c r="Q68" s="28"/>
    </row>
    <row r="69" spans="1:17" x14ac:dyDescent="0.2">
      <c r="A69" s="170" t="s">
        <v>84</v>
      </c>
      <c r="B69" s="47" t="s">
        <v>176</v>
      </c>
      <c r="C69" s="194">
        <v>3537077000</v>
      </c>
      <c r="D69" s="37">
        <v>0</v>
      </c>
      <c r="E69" s="37">
        <v>5533782507</v>
      </c>
      <c r="F69" s="37">
        <f t="shared" si="31"/>
        <v>9070859507</v>
      </c>
      <c r="G69" s="37">
        <v>0</v>
      </c>
      <c r="H69" s="37">
        <f t="shared" ref="H69:H114" si="33">F69-G69</f>
        <v>9070859507</v>
      </c>
      <c r="I69" s="37">
        <v>55013000</v>
      </c>
      <c r="J69" s="37">
        <v>5090132000</v>
      </c>
      <c r="K69" s="38">
        <f t="shared" ref="K69:K114" si="34">IFERROR(J69/H69,0)</f>
        <v>0.56115211530637588</v>
      </c>
      <c r="L69" s="37">
        <v>55013000</v>
      </c>
      <c r="M69" s="37">
        <v>5090132000</v>
      </c>
      <c r="N69" s="38">
        <f t="shared" si="32"/>
        <v>0.56115211530637588</v>
      </c>
      <c r="O69" s="30" t="s">
        <v>195</v>
      </c>
      <c r="Q69" s="28"/>
    </row>
    <row r="70" spans="1:17" x14ac:dyDescent="0.2">
      <c r="A70" s="170" t="s">
        <v>85</v>
      </c>
      <c r="B70" s="42" t="s">
        <v>177</v>
      </c>
      <c r="C70" s="194">
        <v>5000000</v>
      </c>
      <c r="D70" s="37">
        <v>0</v>
      </c>
      <c r="E70" s="37">
        <v>0</v>
      </c>
      <c r="F70" s="37">
        <f t="shared" si="31"/>
        <v>5000000</v>
      </c>
      <c r="G70" s="37">
        <v>0</v>
      </c>
      <c r="H70" s="37">
        <f t="shared" si="33"/>
        <v>5000000</v>
      </c>
      <c r="I70" s="37">
        <v>0</v>
      </c>
      <c r="J70" s="37">
        <v>380000</v>
      </c>
      <c r="K70" s="38">
        <f t="shared" si="34"/>
        <v>7.5999999999999998E-2</v>
      </c>
      <c r="L70" s="37">
        <v>0</v>
      </c>
      <c r="M70" s="37">
        <v>380000</v>
      </c>
      <c r="N70" s="38">
        <f t="shared" si="32"/>
        <v>7.5999999999999998E-2</v>
      </c>
      <c r="O70" s="30" t="s">
        <v>195</v>
      </c>
      <c r="Q70" s="28"/>
    </row>
    <row r="71" spans="1:17" x14ac:dyDescent="0.2">
      <c r="A71" s="170" t="s">
        <v>86</v>
      </c>
      <c r="B71" s="42" t="s">
        <v>178</v>
      </c>
      <c r="C71" s="194">
        <v>3471558000</v>
      </c>
      <c r="D71" s="37">
        <v>0</v>
      </c>
      <c r="E71" s="37">
        <v>91259000</v>
      </c>
      <c r="F71" s="37">
        <f t="shared" si="31"/>
        <v>3562817000</v>
      </c>
      <c r="G71" s="37">
        <v>0</v>
      </c>
      <c r="H71" s="37">
        <f t="shared" si="33"/>
        <v>3562817000</v>
      </c>
      <c r="I71" s="37">
        <v>98668000</v>
      </c>
      <c r="J71" s="37">
        <v>1075343000</v>
      </c>
      <c r="K71" s="38">
        <f t="shared" si="34"/>
        <v>0.30182380964276301</v>
      </c>
      <c r="L71" s="37">
        <v>98668000</v>
      </c>
      <c r="M71" s="37">
        <v>1075343000</v>
      </c>
      <c r="N71" s="38">
        <f t="shared" si="32"/>
        <v>0.30182380964276301</v>
      </c>
      <c r="O71" s="30" t="s">
        <v>195</v>
      </c>
      <c r="Q71" s="28"/>
    </row>
    <row r="72" spans="1:17" x14ac:dyDescent="0.2">
      <c r="A72" s="169" t="s">
        <v>87</v>
      </c>
      <c r="B72" s="36" t="s">
        <v>14</v>
      </c>
      <c r="C72" s="195">
        <f t="shared" ref="C72:M73" si="35">C73</f>
        <v>177372133000</v>
      </c>
      <c r="D72" s="43">
        <f t="shared" si="35"/>
        <v>0</v>
      </c>
      <c r="E72" s="43">
        <f t="shared" si="35"/>
        <v>114023951109</v>
      </c>
      <c r="F72" s="43">
        <f t="shared" si="31"/>
        <v>291396084109</v>
      </c>
      <c r="G72" s="43">
        <f t="shared" si="35"/>
        <v>0</v>
      </c>
      <c r="H72" s="43">
        <f t="shared" si="33"/>
        <v>291396084109</v>
      </c>
      <c r="I72" s="43">
        <f t="shared" si="35"/>
        <v>33282036115</v>
      </c>
      <c r="J72" s="43">
        <f t="shared" si="35"/>
        <v>277383051706</v>
      </c>
      <c r="K72" s="44">
        <f t="shared" si="34"/>
        <v>0.95191070447687187</v>
      </c>
      <c r="L72" s="43">
        <f t="shared" si="35"/>
        <v>23116946292</v>
      </c>
      <c r="M72" s="43">
        <f t="shared" si="35"/>
        <v>38092851006</v>
      </c>
      <c r="N72" s="44">
        <f t="shared" si="32"/>
        <v>0.13072533600606293</v>
      </c>
      <c r="O72" s="3" t="s">
        <v>194</v>
      </c>
      <c r="Q72" s="28"/>
    </row>
    <row r="73" spans="1:17" x14ac:dyDescent="0.2">
      <c r="A73" s="169" t="s">
        <v>88</v>
      </c>
      <c r="B73" s="36" t="s">
        <v>89</v>
      </c>
      <c r="C73" s="195">
        <f>C74</f>
        <v>177372133000</v>
      </c>
      <c r="D73" s="43">
        <f t="shared" si="35"/>
        <v>0</v>
      </c>
      <c r="E73" s="43">
        <f t="shared" si="35"/>
        <v>114023951109</v>
      </c>
      <c r="F73" s="43">
        <f t="shared" si="31"/>
        <v>291396084109</v>
      </c>
      <c r="G73" s="43">
        <f t="shared" si="35"/>
        <v>0</v>
      </c>
      <c r="H73" s="43">
        <f t="shared" si="33"/>
        <v>291396084109</v>
      </c>
      <c r="I73" s="43">
        <f t="shared" si="35"/>
        <v>33282036115</v>
      </c>
      <c r="J73" s="43">
        <f t="shared" si="35"/>
        <v>277383051706</v>
      </c>
      <c r="K73" s="44">
        <f t="shared" si="34"/>
        <v>0.95191070447687187</v>
      </c>
      <c r="L73" s="43">
        <f t="shared" si="35"/>
        <v>23116946292</v>
      </c>
      <c r="M73" s="43">
        <f t="shared" si="35"/>
        <v>38092851006</v>
      </c>
      <c r="N73" s="44">
        <f t="shared" si="32"/>
        <v>0.13072533600606293</v>
      </c>
      <c r="O73" s="3" t="s">
        <v>194</v>
      </c>
      <c r="Q73" s="28"/>
    </row>
    <row r="74" spans="1:17" x14ac:dyDescent="0.2">
      <c r="A74" s="169" t="s">
        <v>248</v>
      </c>
      <c r="B74" s="36" t="s">
        <v>249</v>
      </c>
      <c r="C74" s="195">
        <f>SUM(C75,C87)</f>
        <v>177372133000</v>
      </c>
      <c r="D74" s="43">
        <f>SUM(D75,D87)</f>
        <v>0</v>
      </c>
      <c r="E74" s="43">
        <f>SUM(E75,E87)</f>
        <v>114023951109</v>
      </c>
      <c r="F74" s="43">
        <f t="shared" si="31"/>
        <v>291396084109</v>
      </c>
      <c r="G74" s="43">
        <f>SUM(G75,G87)</f>
        <v>0</v>
      </c>
      <c r="H74" s="43">
        <f t="shared" si="33"/>
        <v>291396084109</v>
      </c>
      <c r="I74" s="43">
        <f>SUM(I75,I87)</f>
        <v>33282036115</v>
      </c>
      <c r="J74" s="43">
        <f>SUM(J75,J87)</f>
        <v>277383051706</v>
      </c>
      <c r="K74" s="44">
        <f t="shared" si="34"/>
        <v>0.95191070447687187</v>
      </c>
      <c r="L74" s="45">
        <f>SUM(L75,L87)</f>
        <v>23116946292</v>
      </c>
      <c r="M74" s="45">
        <f>SUM(M75,M87)</f>
        <v>38092851006</v>
      </c>
      <c r="N74" s="44">
        <f t="shared" si="32"/>
        <v>0.13072533600606293</v>
      </c>
      <c r="O74" s="3" t="s">
        <v>194</v>
      </c>
      <c r="Q74" s="28"/>
    </row>
    <row r="75" spans="1:17" x14ac:dyDescent="0.2">
      <c r="A75" s="169" t="s">
        <v>250</v>
      </c>
      <c r="B75" s="36" t="s">
        <v>251</v>
      </c>
      <c r="C75" s="195">
        <f t="shared" ref="C75" si="36">SUM(C76,C80)</f>
        <v>168947133000</v>
      </c>
      <c r="D75" s="43">
        <f t="shared" ref="D75:M75" si="37">SUM(D76,D80)</f>
        <v>0</v>
      </c>
      <c r="E75" s="43">
        <f t="shared" si="37"/>
        <v>115575728132</v>
      </c>
      <c r="F75" s="43">
        <f t="shared" si="31"/>
        <v>284522861132</v>
      </c>
      <c r="G75" s="43">
        <f t="shared" si="37"/>
        <v>0</v>
      </c>
      <c r="H75" s="43">
        <f t="shared" si="33"/>
        <v>284522861132</v>
      </c>
      <c r="I75" s="43">
        <f t="shared" si="37"/>
        <v>32058243753</v>
      </c>
      <c r="J75" s="43">
        <f t="shared" si="37"/>
        <v>271967226796</v>
      </c>
      <c r="K75" s="44">
        <f t="shared" si="34"/>
        <v>0.95587126360937646</v>
      </c>
      <c r="L75" s="45">
        <f t="shared" si="37"/>
        <v>22499454348</v>
      </c>
      <c r="M75" s="45">
        <f t="shared" si="37"/>
        <v>34931843404</v>
      </c>
      <c r="N75" s="44">
        <f t="shared" si="32"/>
        <v>0.12277341534181294</v>
      </c>
      <c r="O75" s="3" t="s">
        <v>194</v>
      </c>
      <c r="Q75" s="28"/>
    </row>
    <row r="76" spans="1:17" x14ac:dyDescent="0.2">
      <c r="A76" s="169" t="s">
        <v>252</v>
      </c>
      <c r="B76" s="36" t="s">
        <v>253</v>
      </c>
      <c r="C76" s="195">
        <f t="shared" ref="C76:M76" si="38">C77</f>
        <v>17895453000</v>
      </c>
      <c r="D76" s="43">
        <f t="shared" si="38"/>
        <v>0</v>
      </c>
      <c r="E76" s="43">
        <f t="shared" si="38"/>
        <v>-26111124</v>
      </c>
      <c r="F76" s="43">
        <f t="shared" si="31"/>
        <v>17869341876</v>
      </c>
      <c r="G76" s="43">
        <f t="shared" si="38"/>
        <v>0</v>
      </c>
      <c r="H76" s="43">
        <f t="shared" si="33"/>
        <v>17869341876</v>
      </c>
      <c r="I76" s="43">
        <f t="shared" si="38"/>
        <v>17450692140</v>
      </c>
      <c r="J76" s="43">
        <f t="shared" si="38"/>
        <v>17869135840</v>
      </c>
      <c r="K76" s="44">
        <f t="shared" si="34"/>
        <v>0.99998846986075762</v>
      </c>
      <c r="L76" s="45">
        <f t="shared" si="38"/>
        <v>17551924417</v>
      </c>
      <c r="M76" s="45">
        <f t="shared" si="38"/>
        <v>17653319057</v>
      </c>
      <c r="N76" s="44">
        <f t="shared" si="32"/>
        <v>0.98791098068977368</v>
      </c>
      <c r="O76" s="3" t="s">
        <v>194</v>
      </c>
      <c r="Q76" s="28"/>
    </row>
    <row r="77" spans="1:17" x14ac:dyDescent="0.2">
      <c r="A77" s="169" t="s">
        <v>254</v>
      </c>
      <c r="B77" s="36" t="s">
        <v>255</v>
      </c>
      <c r="C77" s="195">
        <f>SUM(C78:C79)</f>
        <v>17895453000</v>
      </c>
      <c r="D77" s="43">
        <f t="shared" ref="D77:M77" si="39">SUM(D78:D79)</f>
        <v>0</v>
      </c>
      <c r="E77" s="43">
        <f t="shared" si="39"/>
        <v>-26111124</v>
      </c>
      <c r="F77" s="43">
        <f t="shared" si="31"/>
        <v>17869341876</v>
      </c>
      <c r="G77" s="43">
        <f t="shared" si="39"/>
        <v>0</v>
      </c>
      <c r="H77" s="43">
        <f t="shared" si="33"/>
        <v>17869341876</v>
      </c>
      <c r="I77" s="43">
        <f t="shared" si="39"/>
        <v>17450692140</v>
      </c>
      <c r="J77" s="43">
        <f t="shared" si="39"/>
        <v>17869135840</v>
      </c>
      <c r="K77" s="44">
        <f t="shared" si="34"/>
        <v>0.99998846986075762</v>
      </c>
      <c r="L77" s="45">
        <f t="shared" si="39"/>
        <v>17551924417</v>
      </c>
      <c r="M77" s="45">
        <f t="shared" si="39"/>
        <v>17653319057</v>
      </c>
      <c r="N77" s="44">
        <f t="shared" si="32"/>
        <v>0.98791098068977368</v>
      </c>
      <c r="O77" s="3" t="s">
        <v>194</v>
      </c>
      <c r="Q77" s="28"/>
    </row>
    <row r="78" spans="1:17" ht="25.5" x14ac:dyDescent="0.2">
      <c r="A78" s="170" t="s">
        <v>299</v>
      </c>
      <c r="B78" s="39" t="s">
        <v>300</v>
      </c>
      <c r="C78" s="197">
        <v>17335453000</v>
      </c>
      <c r="D78" s="40">
        <v>0</v>
      </c>
      <c r="E78" s="40">
        <v>290850966</v>
      </c>
      <c r="F78" s="40">
        <f t="shared" si="31"/>
        <v>17626303966</v>
      </c>
      <c r="G78" s="40">
        <v>0</v>
      </c>
      <c r="H78" s="40">
        <f t="shared" si="33"/>
        <v>17626303966</v>
      </c>
      <c r="I78" s="40">
        <v>17450692140</v>
      </c>
      <c r="J78" s="40">
        <v>17626097930</v>
      </c>
      <c r="K78" s="41">
        <f t="shared" si="34"/>
        <v>0.99998831087899098</v>
      </c>
      <c r="L78" s="37">
        <v>17423308590</v>
      </c>
      <c r="M78" s="37">
        <v>17519903230</v>
      </c>
      <c r="N78" s="41">
        <f t="shared" si="32"/>
        <v>0.9939635254103617</v>
      </c>
      <c r="O78" s="30" t="s">
        <v>195</v>
      </c>
      <c r="Q78" s="28"/>
    </row>
    <row r="79" spans="1:17" ht="25.5" x14ac:dyDescent="0.2">
      <c r="A79" s="170" t="s">
        <v>301</v>
      </c>
      <c r="B79" s="39" t="s">
        <v>302</v>
      </c>
      <c r="C79" s="197">
        <v>560000000</v>
      </c>
      <c r="D79" s="40">
        <v>0</v>
      </c>
      <c r="E79" s="40">
        <v>-316962090</v>
      </c>
      <c r="F79" s="40">
        <f t="shared" si="31"/>
        <v>243037910</v>
      </c>
      <c r="G79" s="40">
        <v>0</v>
      </c>
      <c r="H79" s="40">
        <f t="shared" si="33"/>
        <v>243037910</v>
      </c>
      <c r="I79" s="40">
        <v>0</v>
      </c>
      <c r="J79" s="40">
        <v>243037910</v>
      </c>
      <c r="K79" s="41">
        <f t="shared" si="34"/>
        <v>1</v>
      </c>
      <c r="L79" s="37">
        <v>128615827</v>
      </c>
      <c r="M79" s="37">
        <v>133415827</v>
      </c>
      <c r="N79" s="41">
        <f t="shared" si="32"/>
        <v>0.54895068427802063</v>
      </c>
      <c r="O79" s="30" t="s">
        <v>195</v>
      </c>
      <c r="Q79" s="28"/>
    </row>
    <row r="80" spans="1:17" x14ac:dyDescent="0.2">
      <c r="A80" s="169" t="s">
        <v>256</v>
      </c>
      <c r="B80" s="36" t="s">
        <v>257</v>
      </c>
      <c r="C80" s="195">
        <f>SUM(C81,C84)</f>
        <v>151051680000</v>
      </c>
      <c r="D80" s="43">
        <f t="shared" ref="D80:M80" si="40">SUM(D81,D84)</f>
        <v>0</v>
      </c>
      <c r="E80" s="43">
        <f t="shared" si="40"/>
        <v>115601839256</v>
      </c>
      <c r="F80" s="43">
        <f t="shared" si="31"/>
        <v>266653519256</v>
      </c>
      <c r="G80" s="43">
        <f t="shared" si="40"/>
        <v>0</v>
      </c>
      <c r="H80" s="43">
        <f t="shared" si="33"/>
        <v>266653519256</v>
      </c>
      <c r="I80" s="43">
        <f t="shared" si="40"/>
        <v>14607551613</v>
      </c>
      <c r="J80" s="43">
        <f t="shared" si="40"/>
        <v>254098090956</v>
      </c>
      <c r="K80" s="44">
        <f t="shared" si="34"/>
        <v>0.95291482244437886</v>
      </c>
      <c r="L80" s="45">
        <f t="shared" si="40"/>
        <v>4947529931</v>
      </c>
      <c r="M80" s="45">
        <f t="shared" si="40"/>
        <v>17278524347</v>
      </c>
      <c r="N80" s="44">
        <f t="shared" si="32"/>
        <v>6.4797661006723101E-2</v>
      </c>
      <c r="O80" s="3" t="s">
        <v>194</v>
      </c>
      <c r="Q80" s="28"/>
    </row>
    <row r="81" spans="1:17" x14ac:dyDescent="0.2">
      <c r="A81" s="169" t="s">
        <v>258</v>
      </c>
      <c r="B81" s="36" t="s">
        <v>259</v>
      </c>
      <c r="C81" s="195">
        <f>SUM(C82:C83)</f>
        <v>136746686000</v>
      </c>
      <c r="D81" s="43">
        <f t="shared" ref="D81:M81" si="41">SUM(D82:D83)</f>
        <v>0</v>
      </c>
      <c r="E81" s="43">
        <f t="shared" si="41"/>
        <v>116248094976</v>
      </c>
      <c r="F81" s="43">
        <f t="shared" si="31"/>
        <v>252994780976</v>
      </c>
      <c r="G81" s="43">
        <f t="shared" si="41"/>
        <v>0</v>
      </c>
      <c r="H81" s="43">
        <f t="shared" si="33"/>
        <v>252994780976</v>
      </c>
      <c r="I81" s="43">
        <f t="shared" si="41"/>
        <v>13933724030</v>
      </c>
      <c r="J81" s="43">
        <f t="shared" si="41"/>
        <v>252486646293</v>
      </c>
      <c r="K81" s="44">
        <f t="shared" si="34"/>
        <v>0.99799152108577216</v>
      </c>
      <c r="L81" s="45">
        <f t="shared" si="41"/>
        <v>4903949231</v>
      </c>
      <c r="M81" s="45">
        <f t="shared" si="41"/>
        <v>16408731829</v>
      </c>
      <c r="N81" s="44">
        <f t="shared" si="32"/>
        <v>6.4857985471868648E-2</v>
      </c>
      <c r="O81" s="3" t="s">
        <v>194</v>
      </c>
      <c r="Q81" s="28"/>
    </row>
    <row r="82" spans="1:17" ht="25.5" x14ac:dyDescent="0.2">
      <c r="A82" s="170" t="s">
        <v>276</v>
      </c>
      <c r="B82" s="39" t="s">
        <v>277</v>
      </c>
      <c r="C82" s="197">
        <v>61036686000</v>
      </c>
      <c r="D82" s="40">
        <v>0</v>
      </c>
      <c r="E82" s="40">
        <v>7894597271</v>
      </c>
      <c r="F82" s="40">
        <f t="shared" si="31"/>
        <v>68931283271</v>
      </c>
      <c r="G82" s="40">
        <v>0</v>
      </c>
      <c r="H82" s="40">
        <f t="shared" si="33"/>
        <v>68931283271</v>
      </c>
      <c r="I82" s="40">
        <v>13933724030</v>
      </c>
      <c r="J82" s="40">
        <v>68520727879</v>
      </c>
      <c r="K82" s="41">
        <f t="shared" si="34"/>
        <v>0.99404399029703361</v>
      </c>
      <c r="L82" s="37">
        <v>2474947823</v>
      </c>
      <c r="M82" s="37">
        <v>3535623138</v>
      </c>
      <c r="N82" s="41">
        <f t="shared" si="32"/>
        <v>5.1291996466972314E-2</v>
      </c>
      <c r="O82" s="30" t="s">
        <v>195</v>
      </c>
      <c r="Q82" s="28"/>
    </row>
    <row r="83" spans="1:17" ht="25.5" x14ac:dyDescent="0.2">
      <c r="A83" s="170" t="s">
        <v>278</v>
      </c>
      <c r="B83" s="39" t="s">
        <v>279</v>
      </c>
      <c r="C83" s="197">
        <v>75710000000</v>
      </c>
      <c r="D83" s="40">
        <v>0</v>
      </c>
      <c r="E83" s="40">
        <v>108353497705</v>
      </c>
      <c r="F83" s="40">
        <f t="shared" si="31"/>
        <v>184063497705</v>
      </c>
      <c r="G83" s="40">
        <v>0</v>
      </c>
      <c r="H83" s="40">
        <f t="shared" si="33"/>
        <v>184063497705</v>
      </c>
      <c r="I83" s="40">
        <v>0</v>
      </c>
      <c r="J83" s="40">
        <v>183965918414</v>
      </c>
      <c r="K83" s="41">
        <f t="shared" si="34"/>
        <v>0.99946986071536903</v>
      </c>
      <c r="L83" s="37">
        <v>2429001408</v>
      </c>
      <c r="M83" s="37">
        <v>12873108691</v>
      </c>
      <c r="N83" s="41">
        <f t="shared" si="32"/>
        <v>6.993841175196959E-2</v>
      </c>
      <c r="O83" s="30" t="s">
        <v>195</v>
      </c>
      <c r="Q83" s="28"/>
    </row>
    <row r="84" spans="1:17" ht="25.5" x14ac:dyDescent="0.2">
      <c r="A84" s="169" t="s">
        <v>260</v>
      </c>
      <c r="B84" s="36" t="s">
        <v>261</v>
      </c>
      <c r="C84" s="195">
        <f>SUM(C85:C86)</f>
        <v>14304994000</v>
      </c>
      <c r="D84" s="43">
        <f t="shared" ref="D84:M84" si="42">SUM(D85:D86)</f>
        <v>0</v>
      </c>
      <c r="E84" s="43">
        <f t="shared" si="42"/>
        <v>-646255720</v>
      </c>
      <c r="F84" s="43">
        <f t="shared" si="31"/>
        <v>13658738280</v>
      </c>
      <c r="G84" s="43">
        <f t="shared" si="42"/>
        <v>0</v>
      </c>
      <c r="H84" s="43">
        <f t="shared" si="33"/>
        <v>13658738280</v>
      </c>
      <c r="I84" s="43">
        <f t="shared" si="42"/>
        <v>673827583</v>
      </c>
      <c r="J84" s="43">
        <f t="shared" si="42"/>
        <v>1611444663</v>
      </c>
      <c r="K84" s="44">
        <f t="shared" si="34"/>
        <v>0.11797902778176668</v>
      </c>
      <c r="L84" s="45">
        <f t="shared" si="42"/>
        <v>43580700</v>
      </c>
      <c r="M84" s="45">
        <f t="shared" si="42"/>
        <v>869792518</v>
      </c>
      <c r="N84" s="44">
        <f t="shared" si="32"/>
        <v>6.3680297562594482E-2</v>
      </c>
      <c r="O84" s="3" t="s">
        <v>194</v>
      </c>
      <c r="Q84" s="28"/>
    </row>
    <row r="85" spans="1:17" ht="38.25" x14ac:dyDescent="0.2">
      <c r="A85" s="170" t="s">
        <v>275</v>
      </c>
      <c r="B85" s="39" t="s">
        <v>280</v>
      </c>
      <c r="C85" s="197">
        <v>14074994000</v>
      </c>
      <c r="D85" s="40">
        <v>0</v>
      </c>
      <c r="E85" s="40">
        <v>-647466800</v>
      </c>
      <c r="F85" s="40">
        <f t="shared" si="31"/>
        <v>13427527200</v>
      </c>
      <c r="G85" s="40">
        <v>0</v>
      </c>
      <c r="H85" s="40">
        <f t="shared" si="33"/>
        <v>13427527200</v>
      </c>
      <c r="I85" s="40">
        <v>677490867</v>
      </c>
      <c r="J85" s="40">
        <v>1408991367</v>
      </c>
      <c r="K85" s="41">
        <f t="shared" si="34"/>
        <v>0.10493304880439937</v>
      </c>
      <c r="L85" s="37">
        <v>43580700</v>
      </c>
      <c r="M85" s="37">
        <v>681223763</v>
      </c>
      <c r="N85" s="41">
        <f t="shared" si="32"/>
        <v>5.0733374273112627E-2</v>
      </c>
      <c r="O85" s="30" t="s">
        <v>195</v>
      </c>
      <c r="P85" s="193"/>
      <c r="Q85" s="28"/>
    </row>
    <row r="86" spans="1:17" ht="38.25" x14ac:dyDescent="0.2">
      <c r="A86" s="170" t="s">
        <v>273</v>
      </c>
      <c r="B86" s="39" t="s">
        <v>274</v>
      </c>
      <c r="C86" s="197">
        <v>230000000</v>
      </c>
      <c r="D86" s="40">
        <v>0</v>
      </c>
      <c r="E86" s="40">
        <v>1211080</v>
      </c>
      <c r="F86" s="40">
        <f t="shared" si="31"/>
        <v>231211080</v>
      </c>
      <c r="G86" s="40">
        <v>0</v>
      </c>
      <c r="H86" s="40">
        <f t="shared" si="33"/>
        <v>231211080</v>
      </c>
      <c r="I86" s="40">
        <v>-3663284</v>
      </c>
      <c r="J86" s="40">
        <v>202453296</v>
      </c>
      <c r="K86" s="41">
        <f t="shared" si="34"/>
        <v>0.87562108182704734</v>
      </c>
      <c r="L86" s="37">
        <v>0</v>
      </c>
      <c r="M86" s="37">
        <v>188568755</v>
      </c>
      <c r="N86" s="41">
        <f t="shared" si="32"/>
        <v>0.81556971664160727</v>
      </c>
      <c r="O86" s="30" t="s">
        <v>195</v>
      </c>
      <c r="Q86" s="28"/>
    </row>
    <row r="87" spans="1:17" x14ac:dyDescent="0.2">
      <c r="A87" s="169" t="s">
        <v>262</v>
      </c>
      <c r="B87" s="36" t="s">
        <v>263</v>
      </c>
      <c r="C87" s="195">
        <f t="shared" ref="C87:M88" si="43">C88</f>
        <v>8425000000</v>
      </c>
      <c r="D87" s="43">
        <f t="shared" si="43"/>
        <v>0</v>
      </c>
      <c r="E87" s="43">
        <f t="shared" si="43"/>
        <v>-1551777023</v>
      </c>
      <c r="F87" s="43">
        <f t="shared" si="31"/>
        <v>6873222977</v>
      </c>
      <c r="G87" s="43">
        <f t="shared" si="43"/>
        <v>0</v>
      </c>
      <c r="H87" s="43">
        <f t="shared" si="33"/>
        <v>6873222977</v>
      </c>
      <c r="I87" s="43">
        <f t="shared" si="43"/>
        <v>1223792362</v>
      </c>
      <c r="J87" s="43">
        <f t="shared" si="43"/>
        <v>5415824910</v>
      </c>
      <c r="K87" s="44">
        <f t="shared" si="34"/>
        <v>0.787960019356724</v>
      </c>
      <c r="L87" s="45">
        <f t="shared" si="43"/>
        <v>617491944</v>
      </c>
      <c r="M87" s="45">
        <f t="shared" si="43"/>
        <v>3161007602</v>
      </c>
      <c r="N87" s="44">
        <f t="shared" si="32"/>
        <v>0.45990179753774052</v>
      </c>
      <c r="O87" s="3" t="s">
        <v>194</v>
      </c>
      <c r="Q87" s="28"/>
    </row>
    <row r="88" spans="1:17" ht="25.5" x14ac:dyDescent="0.2">
      <c r="A88" s="169" t="s">
        <v>264</v>
      </c>
      <c r="B88" s="36" t="s">
        <v>265</v>
      </c>
      <c r="C88" s="195">
        <f t="shared" si="43"/>
        <v>8425000000</v>
      </c>
      <c r="D88" s="43">
        <f t="shared" si="43"/>
        <v>0</v>
      </c>
      <c r="E88" s="43">
        <f t="shared" si="43"/>
        <v>-1551777023</v>
      </c>
      <c r="F88" s="43">
        <f t="shared" si="31"/>
        <v>6873222977</v>
      </c>
      <c r="G88" s="43">
        <f t="shared" si="43"/>
        <v>0</v>
      </c>
      <c r="H88" s="43">
        <f t="shared" si="33"/>
        <v>6873222977</v>
      </c>
      <c r="I88" s="43">
        <f t="shared" si="43"/>
        <v>1223792362</v>
      </c>
      <c r="J88" s="43">
        <f t="shared" si="43"/>
        <v>5415824910</v>
      </c>
      <c r="K88" s="44">
        <f t="shared" si="34"/>
        <v>0.787960019356724</v>
      </c>
      <c r="L88" s="45">
        <f t="shared" si="43"/>
        <v>617491944</v>
      </c>
      <c r="M88" s="45">
        <f t="shared" si="43"/>
        <v>3161007602</v>
      </c>
      <c r="N88" s="44">
        <f t="shared" si="32"/>
        <v>0.45990179753774052</v>
      </c>
      <c r="O88" s="3" t="s">
        <v>194</v>
      </c>
      <c r="Q88" s="28"/>
    </row>
    <row r="89" spans="1:17" x14ac:dyDescent="0.2">
      <c r="A89" s="169" t="s">
        <v>266</v>
      </c>
      <c r="B89" s="36" t="s">
        <v>267</v>
      </c>
      <c r="C89" s="195">
        <f>SUM(C90:C91)</f>
        <v>8425000000</v>
      </c>
      <c r="D89" s="43">
        <f t="shared" ref="D89:M89" si="44">SUM(D90:D91)</f>
        <v>0</v>
      </c>
      <c r="E89" s="43">
        <f t="shared" si="44"/>
        <v>-1551777023</v>
      </c>
      <c r="F89" s="43">
        <f t="shared" si="31"/>
        <v>6873222977</v>
      </c>
      <c r="G89" s="43">
        <f t="shared" si="44"/>
        <v>0</v>
      </c>
      <c r="H89" s="43">
        <f t="shared" si="33"/>
        <v>6873222977</v>
      </c>
      <c r="I89" s="43">
        <f t="shared" si="44"/>
        <v>1223792362</v>
      </c>
      <c r="J89" s="43">
        <f t="shared" si="44"/>
        <v>5415824910</v>
      </c>
      <c r="K89" s="44">
        <f t="shared" si="34"/>
        <v>0.787960019356724</v>
      </c>
      <c r="L89" s="45">
        <f t="shared" si="44"/>
        <v>617491944</v>
      </c>
      <c r="M89" s="45">
        <f t="shared" si="44"/>
        <v>3161007602</v>
      </c>
      <c r="N89" s="44">
        <f t="shared" si="32"/>
        <v>0.45990179753774052</v>
      </c>
      <c r="O89" s="3" t="s">
        <v>194</v>
      </c>
      <c r="Q89" s="28"/>
    </row>
    <row r="90" spans="1:17" ht="25.5" x14ac:dyDescent="0.2">
      <c r="A90" s="170" t="s">
        <v>281</v>
      </c>
      <c r="B90" s="39" t="s">
        <v>282</v>
      </c>
      <c r="C90" s="197">
        <v>4925000000</v>
      </c>
      <c r="D90" s="40">
        <v>0</v>
      </c>
      <c r="E90" s="40">
        <v>434778210</v>
      </c>
      <c r="F90" s="40">
        <f t="shared" si="31"/>
        <v>5359778210</v>
      </c>
      <c r="G90" s="40">
        <v>0</v>
      </c>
      <c r="H90" s="40">
        <f t="shared" si="33"/>
        <v>5359778210</v>
      </c>
      <c r="I90" s="40">
        <v>1223792362</v>
      </c>
      <c r="J90" s="40">
        <v>3902380143</v>
      </c>
      <c r="K90" s="41">
        <f t="shared" si="34"/>
        <v>0.7280861241084825</v>
      </c>
      <c r="L90" s="37">
        <v>261772607</v>
      </c>
      <c r="M90" s="37">
        <v>2157344816</v>
      </c>
      <c r="N90" s="41">
        <f t="shared" si="32"/>
        <v>0.4025063596801331</v>
      </c>
      <c r="O90" s="30" t="s">
        <v>195</v>
      </c>
      <c r="Q90" s="28"/>
    </row>
    <row r="91" spans="1:17" ht="25.5" x14ac:dyDescent="0.2">
      <c r="A91" s="170" t="s">
        <v>283</v>
      </c>
      <c r="B91" s="39" t="s">
        <v>284</v>
      </c>
      <c r="C91" s="197">
        <v>3500000000</v>
      </c>
      <c r="D91" s="40">
        <v>0</v>
      </c>
      <c r="E91" s="40">
        <v>-1986555233</v>
      </c>
      <c r="F91" s="40">
        <f t="shared" si="31"/>
        <v>1513444767</v>
      </c>
      <c r="G91" s="40">
        <v>0</v>
      </c>
      <c r="H91" s="40">
        <f t="shared" si="33"/>
        <v>1513444767</v>
      </c>
      <c r="I91" s="40">
        <v>0</v>
      </c>
      <c r="J91" s="40">
        <v>1513444767</v>
      </c>
      <c r="K91" s="41">
        <f t="shared" si="34"/>
        <v>1</v>
      </c>
      <c r="L91" s="37">
        <v>355719337</v>
      </c>
      <c r="M91" s="37">
        <v>1003662786</v>
      </c>
      <c r="N91" s="41">
        <f t="shared" si="32"/>
        <v>0.66316446287596831</v>
      </c>
      <c r="O91" s="30" t="s">
        <v>195</v>
      </c>
      <c r="Q91" s="28"/>
    </row>
    <row r="92" spans="1:17" x14ac:dyDescent="0.2">
      <c r="A92" s="171" t="s">
        <v>272</v>
      </c>
      <c r="B92" s="125" t="s">
        <v>236</v>
      </c>
      <c r="C92" s="198">
        <v>0</v>
      </c>
      <c r="D92" s="127">
        <v>0</v>
      </c>
      <c r="E92" s="127">
        <v>0</v>
      </c>
      <c r="F92" s="127">
        <f t="shared" si="31"/>
        <v>0</v>
      </c>
      <c r="G92" s="127">
        <v>0</v>
      </c>
      <c r="H92" s="127">
        <f t="shared" si="33"/>
        <v>0</v>
      </c>
      <c r="I92" s="127">
        <v>0</v>
      </c>
      <c r="J92" s="127">
        <v>0</v>
      </c>
      <c r="K92" s="128">
        <f t="shared" si="34"/>
        <v>0</v>
      </c>
      <c r="L92" s="126">
        <v>0</v>
      </c>
      <c r="M92" s="126">
        <v>0</v>
      </c>
      <c r="N92" s="128">
        <f t="shared" si="32"/>
        <v>0</v>
      </c>
      <c r="O92" s="31" t="s">
        <v>195</v>
      </c>
      <c r="Q92" s="28"/>
    </row>
    <row r="93" spans="1:17" x14ac:dyDescent="0.2">
      <c r="A93" s="169" t="s">
        <v>93</v>
      </c>
      <c r="B93" s="49" t="s">
        <v>94</v>
      </c>
      <c r="C93" s="195">
        <f>C94</f>
        <v>307200645000</v>
      </c>
      <c r="D93" s="43">
        <f t="shared" ref="D93:M93" si="45">D94</f>
        <v>0</v>
      </c>
      <c r="E93" s="43">
        <f t="shared" si="45"/>
        <v>-47744786676</v>
      </c>
      <c r="F93" s="43">
        <f t="shared" si="31"/>
        <v>259455858324</v>
      </c>
      <c r="G93" s="43">
        <f t="shared" si="45"/>
        <v>0</v>
      </c>
      <c r="H93" s="43">
        <f t="shared" si="33"/>
        <v>259455858324</v>
      </c>
      <c r="I93" s="43">
        <f t="shared" si="45"/>
        <v>14710752649</v>
      </c>
      <c r="J93" s="43">
        <f t="shared" si="45"/>
        <v>99725671197</v>
      </c>
      <c r="K93" s="44">
        <f t="shared" si="34"/>
        <v>0.38436469248062166</v>
      </c>
      <c r="L93" s="43">
        <f t="shared" si="45"/>
        <v>8879876659</v>
      </c>
      <c r="M93" s="43">
        <f t="shared" si="45"/>
        <v>60524256230</v>
      </c>
      <c r="N93" s="44">
        <f t="shared" si="32"/>
        <v>0.23327380858141691</v>
      </c>
      <c r="O93" s="3" t="s">
        <v>194</v>
      </c>
      <c r="Q93" s="28"/>
    </row>
    <row r="94" spans="1:17" x14ac:dyDescent="0.2">
      <c r="A94" s="169" t="s">
        <v>95</v>
      </c>
      <c r="B94" s="49" t="s">
        <v>103</v>
      </c>
      <c r="C94" s="199">
        <f>SUM(C95,C99)</f>
        <v>307200645000</v>
      </c>
      <c r="D94" s="46">
        <f>SUM(D95,D99)</f>
        <v>0</v>
      </c>
      <c r="E94" s="46">
        <f>SUM(E95,E99)</f>
        <v>-47744786676</v>
      </c>
      <c r="F94" s="46">
        <f t="shared" si="31"/>
        <v>259455858324</v>
      </c>
      <c r="G94" s="46">
        <f>SUM(G95,G99)</f>
        <v>0</v>
      </c>
      <c r="H94" s="46">
        <f t="shared" si="33"/>
        <v>259455858324</v>
      </c>
      <c r="I94" s="46">
        <f>SUM(I95,I99)</f>
        <v>14710752649</v>
      </c>
      <c r="J94" s="46">
        <f>SUM(J95,J99)</f>
        <v>99725671197</v>
      </c>
      <c r="K94" s="52">
        <f t="shared" si="34"/>
        <v>0.38436469248062166</v>
      </c>
      <c r="L94" s="46">
        <f>SUM(L95,L99)</f>
        <v>8879876659</v>
      </c>
      <c r="M94" s="46">
        <f>SUM(M95,M99)</f>
        <v>60524256230</v>
      </c>
      <c r="N94" s="52">
        <f t="shared" si="32"/>
        <v>0.23327380858141691</v>
      </c>
      <c r="O94" s="3" t="s">
        <v>194</v>
      </c>
      <c r="Q94" s="28"/>
    </row>
    <row r="95" spans="1:17" x14ac:dyDescent="0.2">
      <c r="A95" s="169" t="s">
        <v>179</v>
      </c>
      <c r="B95" s="49" t="s">
        <v>180</v>
      </c>
      <c r="C95" s="199">
        <f t="shared" ref="C95" si="46">SUM(C96:C98)</f>
        <v>1000000</v>
      </c>
      <c r="D95" s="46">
        <f t="shared" ref="D95:O95" si="47">SUM(D96:D98)</f>
        <v>0</v>
      </c>
      <c r="E95" s="46">
        <f t="shared" si="47"/>
        <v>-1000000</v>
      </c>
      <c r="F95" s="46">
        <f t="shared" si="31"/>
        <v>0</v>
      </c>
      <c r="G95" s="46">
        <f t="shared" si="47"/>
        <v>0</v>
      </c>
      <c r="H95" s="46">
        <f t="shared" si="33"/>
        <v>0</v>
      </c>
      <c r="I95" s="46">
        <f t="shared" si="47"/>
        <v>0</v>
      </c>
      <c r="J95" s="46">
        <f t="shared" si="47"/>
        <v>0</v>
      </c>
      <c r="K95" s="52">
        <f t="shared" si="34"/>
        <v>0</v>
      </c>
      <c r="L95" s="46">
        <f t="shared" si="47"/>
        <v>0</v>
      </c>
      <c r="M95" s="46">
        <f t="shared" si="47"/>
        <v>0</v>
      </c>
      <c r="N95" s="52">
        <f t="shared" si="32"/>
        <v>0</v>
      </c>
      <c r="O95" s="3">
        <f t="shared" si="47"/>
        <v>0</v>
      </c>
      <c r="Q95" s="28"/>
    </row>
    <row r="96" spans="1:17" x14ac:dyDescent="0.2">
      <c r="A96" s="170" t="s">
        <v>181</v>
      </c>
      <c r="B96" s="47" t="s">
        <v>182</v>
      </c>
      <c r="C96" s="194">
        <v>0</v>
      </c>
      <c r="D96" s="37">
        <v>0</v>
      </c>
      <c r="E96" s="37">
        <v>0</v>
      </c>
      <c r="F96" s="37">
        <f t="shared" si="31"/>
        <v>0</v>
      </c>
      <c r="G96" s="37">
        <v>0</v>
      </c>
      <c r="H96" s="37">
        <f t="shared" si="33"/>
        <v>0</v>
      </c>
      <c r="I96" s="37">
        <v>0</v>
      </c>
      <c r="J96" s="37">
        <v>0</v>
      </c>
      <c r="K96" s="38">
        <f t="shared" si="34"/>
        <v>0</v>
      </c>
      <c r="L96" s="37">
        <v>0</v>
      </c>
      <c r="M96" s="37">
        <v>0</v>
      </c>
      <c r="N96" s="38">
        <f t="shared" si="32"/>
        <v>0</v>
      </c>
      <c r="O96" s="30" t="s">
        <v>195</v>
      </c>
      <c r="Q96" s="28"/>
    </row>
    <row r="97" spans="1:17" x14ac:dyDescent="0.2">
      <c r="A97" s="170" t="s">
        <v>240</v>
      </c>
      <c r="B97" s="47" t="s">
        <v>241</v>
      </c>
      <c r="C97" s="194">
        <v>1000000</v>
      </c>
      <c r="D97" s="37">
        <v>0</v>
      </c>
      <c r="E97" s="37">
        <v>-1000000</v>
      </c>
      <c r="F97" s="37">
        <f t="shared" si="31"/>
        <v>0</v>
      </c>
      <c r="G97" s="37">
        <v>0</v>
      </c>
      <c r="H97" s="37">
        <f t="shared" si="33"/>
        <v>0</v>
      </c>
      <c r="I97" s="37">
        <v>0</v>
      </c>
      <c r="J97" s="37">
        <v>0</v>
      </c>
      <c r="K97" s="38">
        <f t="shared" si="34"/>
        <v>0</v>
      </c>
      <c r="L97" s="37">
        <v>0</v>
      </c>
      <c r="M97" s="37">
        <v>0</v>
      </c>
      <c r="N97" s="38">
        <f t="shared" si="32"/>
        <v>0</v>
      </c>
      <c r="O97" s="30" t="s">
        <v>195</v>
      </c>
      <c r="Q97" s="28"/>
    </row>
    <row r="98" spans="1:17" x14ac:dyDescent="0.2">
      <c r="A98" s="170" t="s">
        <v>269</v>
      </c>
      <c r="B98" s="47" t="s">
        <v>268</v>
      </c>
      <c r="C98" s="194">
        <v>0</v>
      </c>
      <c r="D98" s="37">
        <v>0</v>
      </c>
      <c r="E98" s="37">
        <v>0</v>
      </c>
      <c r="F98" s="37">
        <f t="shared" si="31"/>
        <v>0</v>
      </c>
      <c r="G98" s="37">
        <v>0</v>
      </c>
      <c r="H98" s="37">
        <f t="shared" si="33"/>
        <v>0</v>
      </c>
      <c r="I98" s="37">
        <v>0</v>
      </c>
      <c r="J98" s="37">
        <v>0</v>
      </c>
      <c r="K98" s="38">
        <f t="shared" si="34"/>
        <v>0</v>
      </c>
      <c r="L98" s="37">
        <v>0</v>
      </c>
      <c r="M98" s="37">
        <v>0</v>
      </c>
      <c r="N98" s="38">
        <f t="shared" si="32"/>
        <v>0</v>
      </c>
      <c r="O98" s="30" t="s">
        <v>195</v>
      </c>
      <c r="Q98" s="28"/>
    </row>
    <row r="99" spans="1:17" x14ac:dyDescent="0.2">
      <c r="A99" s="169" t="s">
        <v>90</v>
      </c>
      <c r="B99" s="49" t="s">
        <v>61</v>
      </c>
      <c r="C99" s="199">
        <f>SUM(C100,C103,C109,C112,C106)</f>
        <v>307199645000</v>
      </c>
      <c r="D99" s="46">
        <f>SUM(D100,D103,D109,D112,D106)</f>
        <v>0</v>
      </c>
      <c r="E99" s="46">
        <f>SUM(E100,E103,E109,E112,E106)</f>
        <v>-47743786676</v>
      </c>
      <c r="F99" s="46">
        <f t="shared" si="31"/>
        <v>259455858324</v>
      </c>
      <c r="G99" s="46">
        <f>SUM(G100,G103,G109,G112,G106)</f>
        <v>0</v>
      </c>
      <c r="H99" s="46">
        <f t="shared" si="33"/>
        <v>259455858324</v>
      </c>
      <c r="I99" s="46">
        <f>SUM(I100,I103,I109,I112,I106)</f>
        <v>14710752649</v>
      </c>
      <c r="J99" s="46">
        <f>SUM(J100,J103,J109,J112,J106)</f>
        <v>99725671197</v>
      </c>
      <c r="K99" s="52">
        <f t="shared" si="34"/>
        <v>0.38436469248062166</v>
      </c>
      <c r="L99" s="46">
        <f>SUM(L100,L103,L109,L112,L106)</f>
        <v>8879876659</v>
      </c>
      <c r="M99" s="46">
        <f>SUM(M100,M103,M109,M112,M106)</f>
        <v>60524256230</v>
      </c>
      <c r="N99" s="52">
        <f t="shared" si="32"/>
        <v>0.23327380858141691</v>
      </c>
      <c r="O99" s="3" t="s">
        <v>194</v>
      </c>
      <c r="Q99" s="28"/>
    </row>
    <row r="100" spans="1:17" x14ac:dyDescent="0.2">
      <c r="A100" s="169" t="s">
        <v>183</v>
      </c>
      <c r="B100" s="49" t="s">
        <v>184</v>
      </c>
      <c r="C100" s="196">
        <f>SUM(C101:C102)</f>
        <v>36000000000</v>
      </c>
      <c r="D100" s="45">
        <f t="shared" ref="D100:M100" si="48">SUM(D101:D102)</f>
        <v>0</v>
      </c>
      <c r="E100" s="45">
        <f t="shared" si="48"/>
        <v>44548891</v>
      </c>
      <c r="F100" s="45">
        <f t="shared" si="31"/>
        <v>36044548891</v>
      </c>
      <c r="G100" s="45">
        <f t="shared" si="48"/>
        <v>0</v>
      </c>
      <c r="H100" s="45">
        <f t="shared" si="33"/>
        <v>36044548891</v>
      </c>
      <c r="I100" s="45">
        <f t="shared" si="48"/>
        <v>0</v>
      </c>
      <c r="J100" s="45">
        <f t="shared" si="48"/>
        <v>44548891</v>
      </c>
      <c r="K100" s="35">
        <f t="shared" si="34"/>
        <v>1.2359397570688825E-3</v>
      </c>
      <c r="L100" s="45">
        <f t="shared" si="48"/>
        <v>0</v>
      </c>
      <c r="M100" s="45">
        <f t="shared" si="48"/>
        <v>44548891</v>
      </c>
      <c r="N100" s="35">
        <f t="shared" si="32"/>
        <v>1.2359397570688825E-3</v>
      </c>
      <c r="O100" s="3" t="s">
        <v>194</v>
      </c>
      <c r="Q100" s="28"/>
    </row>
    <row r="101" spans="1:17" x14ac:dyDescent="0.2">
      <c r="A101" s="170" t="s">
        <v>287</v>
      </c>
      <c r="B101" s="47" t="s">
        <v>288</v>
      </c>
      <c r="C101" s="194">
        <v>36000000000</v>
      </c>
      <c r="D101" s="37">
        <v>0</v>
      </c>
      <c r="E101" s="37">
        <v>0</v>
      </c>
      <c r="F101" s="37">
        <f t="shared" si="31"/>
        <v>36000000000</v>
      </c>
      <c r="G101" s="37">
        <v>0</v>
      </c>
      <c r="H101" s="37">
        <f t="shared" si="33"/>
        <v>36000000000</v>
      </c>
      <c r="I101" s="37">
        <v>0</v>
      </c>
      <c r="J101" s="37">
        <v>0</v>
      </c>
      <c r="K101" s="38">
        <f t="shared" si="34"/>
        <v>0</v>
      </c>
      <c r="L101" s="37">
        <v>0</v>
      </c>
      <c r="M101" s="37">
        <v>0</v>
      </c>
      <c r="N101" s="38">
        <f t="shared" si="32"/>
        <v>0</v>
      </c>
      <c r="O101" s="30" t="s">
        <v>195</v>
      </c>
      <c r="Q101" s="28"/>
    </row>
    <row r="102" spans="1:17" x14ac:dyDescent="0.2">
      <c r="A102" s="170" t="s">
        <v>289</v>
      </c>
      <c r="B102" s="47" t="s">
        <v>290</v>
      </c>
      <c r="C102" s="194">
        <v>0</v>
      </c>
      <c r="D102" s="37">
        <v>0</v>
      </c>
      <c r="E102" s="37">
        <v>44548891</v>
      </c>
      <c r="F102" s="37">
        <f t="shared" si="31"/>
        <v>44548891</v>
      </c>
      <c r="G102" s="37">
        <v>0</v>
      </c>
      <c r="H102" s="37">
        <f t="shared" si="33"/>
        <v>44548891</v>
      </c>
      <c r="I102" s="37">
        <v>0</v>
      </c>
      <c r="J102" s="37">
        <v>44548891</v>
      </c>
      <c r="K102" s="38">
        <f t="shared" si="34"/>
        <v>1</v>
      </c>
      <c r="L102" s="37">
        <v>0</v>
      </c>
      <c r="M102" s="37">
        <v>44548891</v>
      </c>
      <c r="N102" s="38">
        <f t="shared" si="32"/>
        <v>1</v>
      </c>
      <c r="O102" s="30" t="s">
        <v>195</v>
      </c>
      <c r="Q102" s="28"/>
    </row>
    <row r="103" spans="1:17" x14ac:dyDescent="0.2">
      <c r="A103" s="169" t="s">
        <v>185</v>
      </c>
      <c r="B103" s="49" t="s">
        <v>186</v>
      </c>
      <c r="C103" s="196">
        <f>SUM(C104:C105)</f>
        <v>20000000</v>
      </c>
      <c r="D103" s="45">
        <f t="shared" ref="D103:M103" si="49">SUM(D104:D105)</f>
        <v>0</v>
      </c>
      <c r="E103" s="45">
        <f t="shared" si="49"/>
        <v>54159580</v>
      </c>
      <c r="F103" s="45">
        <f t="shared" si="31"/>
        <v>74159580</v>
      </c>
      <c r="G103" s="45">
        <f t="shared" si="49"/>
        <v>0</v>
      </c>
      <c r="H103" s="45">
        <f t="shared" si="33"/>
        <v>74159580</v>
      </c>
      <c r="I103" s="45">
        <f t="shared" si="49"/>
        <v>0</v>
      </c>
      <c r="J103" s="45">
        <f t="shared" si="49"/>
        <v>35162822</v>
      </c>
      <c r="K103" s="35">
        <f t="shared" si="34"/>
        <v>0.47415077054104138</v>
      </c>
      <c r="L103" s="45">
        <f t="shared" si="49"/>
        <v>0</v>
      </c>
      <c r="M103" s="45">
        <f t="shared" si="49"/>
        <v>5928956</v>
      </c>
      <c r="N103" s="35">
        <f t="shared" si="32"/>
        <v>7.994861891073278E-2</v>
      </c>
      <c r="O103" s="3" t="s">
        <v>194</v>
      </c>
      <c r="Q103" s="28"/>
    </row>
    <row r="104" spans="1:17" x14ac:dyDescent="0.2">
      <c r="A104" s="170" t="s">
        <v>291</v>
      </c>
      <c r="B104" s="47" t="s">
        <v>292</v>
      </c>
      <c r="C104" s="194">
        <v>0</v>
      </c>
      <c r="D104" s="37">
        <v>0</v>
      </c>
      <c r="E104" s="37">
        <v>60100000</v>
      </c>
      <c r="F104" s="37">
        <f t="shared" si="31"/>
        <v>60100000</v>
      </c>
      <c r="G104" s="37">
        <v>0</v>
      </c>
      <c r="H104" s="37">
        <f t="shared" si="33"/>
        <v>60100000</v>
      </c>
      <c r="I104" s="37">
        <v>0</v>
      </c>
      <c r="J104" s="37">
        <v>21103242</v>
      </c>
      <c r="K104" s="38">
        <f t="shared" si="34"/>
        <v>0.35113547420965058</v>
      </c>
      <c r="L104" s="37">
        <v>0</v>
      </c>
      <c r="M104" s="37">
        <v>4505521</v>
      </c>
      <c r="N104" s="38">
        <f t="shared" si="32"/>
        <v>7.4967071547420966E-2</v>
      </c>
      <c r="O104" s="30" t="s">
        <v>195</v>
      </c>
      <c r="Q104" s="28"/>
    </row>
    <row r="105" spans="1:17" x14ac:dyDescent="0.2">
      <c r="A105" s="170" t="s">
        <v>242</v>
      </c>
      <c r="B105" s="47" t="s">
        <v>243</v>
      </c>
      <c r="C105" s="194">
        <v>20000000</v>
      </c>
      <c r="D105" s="37">
        <v>0</v>
      </c>
      <c r="E105" s="37">
        <v>-5940420</v>
      </c>
      <c r="F105" s="37">
        <f t="shared" si="31"/>
        <v>14059580</v>
      </c>
      <c r="G105" s="37">
        <v>0</v>
      </c>
      <c r="H105" s="37">
        <f t="shared" si="33"/>
        <v>14059580</v>
      </c>
      <c r="I105" s="37">
        <v>0</v>
      </c>
      <c r="J105" s="37">
        <v>14059580</v>
      </c>
      <c r="K105" s="38">
        <f t="shared" si="34"/>
        <v>1</v>
      </c>
      <c r="L105" s="37">
        <v>0</v>
      </c>
      <c r="M105" s="37">
        <v>1423435</v>
      </c>
      <c r="N105" s="38">
        <f t="shared" si="32"/>
        <v>0.10124306700484652</v>
      </c>
      <c r="O105" s="30" t="s">
        <v>195</v>
      </c>
      <c r="Q105" s="28"/>
    </row>
    <row r="106" spans="1:17" x14ac:dyDescent="0.2">
      <c r="A106" s="169" t="s">
        <v>313</v>
      </c>
      <c r="B106" s="49" t="s">
        <v>188</v>
      </c>
      <c r="C106" s="196">
        <f>SUM(C107:C108)</f>
        <v>64045800</v>
      </c>
      <c r="D106" s="45">
        <f t="shared" ref="D106:M106" si="50">SUM(D107:D108)</f>
        <v>0</v>
      </c>
      <c r="E106" s="45">
        <f t="shared" si="50"/>
        <v>5065226287</v>
      </c>
      <c r="F106" s="45">
        <f t="shared" si="31"/>
        <v>5129272087</v>
      </c>
      <c r="G106" s="45">
        <f t="shared" si="50"/>
        <v>0</v>
      </c>
      <c r="H106" s="45">
        <f t="shared" si="33"/>
        <v>5129272087</v>
      </c>
      <c r="I106" s="45">
        <f t="shared" si="50"/>
        <v>69802873</v>
      </c>
      <c r="J106" s="45">
        <f t="shared" si="50"/>
        <v>4718705290</v>
      </c>
      <c r="K106" s="35">
        <f t="shared" si="34"/>
        <v>0.91995612827001894</v>
      </c>
      <c r="L106" s="45">
        <f t="shared" si="50"/>
        <v>755313414</v>
      </c>
      <c r="M106" s="45">
        <f t="shared" si="50"/>
        <v>2187504334</v>
      </c>
      <c r="N106" s="35">
        <f t="shared" si="32"/>
        <v>0.42647461411613746</v>
      </c>
      <c r="O106" s="3" t="s">
        <v>194</v>
      </c>
      <c r="Q106" s="28"/>
    </row>
    <row r="107" spans="1:17" x14ac:dyDescent="0.2">
      <c r="A107" s="170" t="s">
        <v>187</v>
      </c>
      <c r="B107" s="47" t="s">
        <v>188</v>
      </c>
      <c r="C107" s="194">
        <v>0</v>
      </c>
      <c r="D107" s="37">
        <v>0</v>
      </c>
      <c r="E107" s="37">
        <v>5065226287</v>
      </c>
      <c r="F107" s="37">
        <f t="shared" si="31"/>
        <v>5065226287</v>
      </c>
      <c r="G107" s="37">
        <v>0</v>
      </c>
      <c r="H107" s="37">
        <f t="shared" si="33"/>
        <v>5065226287</v>
      </c>
      <c r="I107" s="37">
        <v>69802873</v>
      </c>
      <c r="J107" s="37">
        <v>4654659490</v>
      </c>
      <c r="K107" s="38">
        <f t="shared" si="34"/>
        <v>0.91894403650756384</v>
      </c>
      <c r="L107" s="37">
        <v>755313414</v>
      </c>
      <c r="M107" s="37">
        <v>2187504334</v>
      </c>
      <c r="N107" s="38">
        <f t="shared" si="32"/>
        <v>0.43186704997055542</v>
      </c>
      <c r="O107" s="30" t="s">
        <v>195</v>
      </c>
      <c r="Q107" s="28"/>
    </row>
    <row r="108" spans="1:17" x14ac:dyDescent="0.2">
      <c r="A108" s="170" t="s">
        <v>293</v>
      </c>
      <c r="B108" s="47" t="s">
        <v>294</v>
      </c>
      <c r="C108" s="194">
        <v>64045800</v>
      </c>
      <c r="D108" s="37">
        <v>0</v>
      </c>
      <c r="E108" s="37">
        <v>0</v>
      </c>
      <c r="F108" s="37">
        <f t="shared" si="31"/>
        <v>64045800</v>
      </c>
      <c r="G108" s="37">
        <v>0</v>
      </c>
      <c r="H108" s="37">
        <f t="shared" si="33"/>
        <v>64045800</v>
      </c>
      <c r="I108" s="37">
        <v>0</v>
      </c>
      <c r="J108" s="37">
        <v>64045800</v>
      </c>
      <c r="K108" s="38">
        <f t="shared" si="34"/>
        <v>1</v>
      </c>
      <c r="L108" s="37">
        <v>0</v>
      </c>
      <c r="M108" s="37">
        <v>0</v>
      </c>
      <c r="N108" s="38">
        <f t="shared" si="32"/>
        <v>0</v>
      </c>
      <c r="O108" s="30" t="s">
        <v>195</v>
      </c>
      <c r="Q108" s="28"/>
    </row>
    <row r="109" spans="1:17" x14ac:dyDescent="0.2">
      <c r="A109" s="169" t="s">
        <v>197</v>
      </c>
      <c r="B109" s="49" t="s">
        <v>198</v>
      </c>
      <c r="C109" s="199">
        <f t="shared" ref="C109" si="51">SUM(C110:C111)</f>
        <v>271115599200</v>
      </c>
      <c r="D109" s="46">
        <f t="shared" ref="D109:M109" si="52">SUM(D110:D111)</f>
        <v>0</v>
      </c>
      <c r="E109" s="46">
        <f t="shared" si="52"/>
        <v>-52947721434</v>
      </c>
      <c r="F109" s="46">
        <f t="shared" si="31"/>
        <v>218167877766</v>
      </c>
      <c r="G109" s="46">
        <f t="shared" si="52"/>
        <v>0</v>
      </c>
      <c r="H109" s="46">
        <f t="shared" si="33"/>
        <v>218167877766</v>
      </c>
      <c r="I109" s="46">
        <f t="shared" si="52"/>
        <v>14640949776</v>
      </c>
      <c r="J109" s="46">
        <f t="shared" si="52"/>
        <v>94887610194</v>
      </c>
      <c r="K109" s="52">
        <f t="shared" si="34"/>
        <v>0.43492933591155647</v>
      </c>
      <c r="L109" s="46">
        <f t="shared" si="52"/>
        <v>8124563245</v>
      </c>
      <c r="M109" s="46">
        <f t="shared" si="52"/>
        <v>58265213871</v>
      </c>
      <c r="N109" s="52">
        <f t="shared" si="32"/>
        <v>0.26706596070707272</v>
      </c>
      <c r="O109" s="3" t="s">
        <v>194</v>
      </c>
      <c r="Q109" s="28"/>
    </row>
    <row r="110" spans="1:17" x14ac:dyDescent="0.2">
      <c r="A110" s="170" t="s">
        <v>189</v>
      </c>
      <c r="B110" s="47" t="s">
        <v>167</v>
      </c>
      <c r="C110" s="200">
        <v>191200645000</v>
      </c>
      <c r="D110" s="32">
        <v>0</v>
      </c>
      <c r="E110" s="32">
        <v>-14034970820</v>
      </c>
      <c r="F110" s="32">
        <f t="shared" si="31"/>
        <v>177165674180</v>
      </c>
      <c r="G110" s="32">
        <v>0</v>
      </c>
      <c r="H110" s="32">
        <f t="shared" si="33"/>
        <v>177165674180</v>
      </c>
      <c r="I110" s="32">
        <v>14654302063</v>
      </c>
      <c r="J110" s="32">
        <v>54235590373</v>
      </c>
      <c r="K110" s="53">
        <f t="shared" si="34"/>
        <v>0.30612922409505094</v>
      </c>
      <c r="L110" s="37">
        <v>5125905574</v>
      </c>
      <c r="M110" s="37">
        <v>31658489401</v>
      </c>
      <c r="N110" s="53">
        <f t="shared" si="32"/>
        <v>0.17869426200944</v>
      </c>
      <c r="O110" s="30" t="s">
        <v>195</v>
      </c>
      <c r="Q110" s="28"/>
    </row>
    <row r="111" spans="1:17" x14ac:dyDescent="0.2">
      <c r="A111" s="170" t="s">
        <v>190</v>
      </c>
      <c r="B111" s="47" t="s">
        <v>191</v>
      </c>
      <c r="C111" s="200">
        <v>79914954200</v>
      </c>
      <c r="D111" s="32">
        <v>0</v>
      </c>
      <c r="E111" s="32">
        <v>-38912750614</v>
      </c>
      <c r="F111" s="32">
        <f t="shared" si="31"/>
        <v>41002203586</v>
      </c>
      <c r="G111" s="32">
        <v>0</v>
      </c>
      <c r="H111" s="32">
        <f t="shared" si="33"/>
        <v>41002203586</v>
      </c>
      <c r="I111" s="32">
        <v>-13352287</v>
      </c>
      <c r="J111" s="32">
        <v>40652019821</v>
      </c>
      <c r="K111" s="53">
        <f t="shared" si="34"/>
        <v>0.99145939158451546</v>
      </c>
      <c r="L111" s="37">
        <v>2998657671</v>
      </c>
      <c r="M111" s="37">
        <v>26606724470</v>
      </c>
      <c r="N111" s="53">
        <f t="shared" si="32"/>
        <v>0.64890962297169641</v>
      </c>
      <c r="O111" s="30" t="s">
        <v>195</v>
      </c>
      <c r="Q111" s="28"/>
    </row>
    <row r="112" spans="1:17" x14ac:dyDescent="0.2">
      <c r="A112" s="169" t="s">
        <v>192</v>
      </c>
      <c r="B112" s="49" t="s">
        <v>193</v>
      </c>
      <c r="C112" s="199">
        <f>SUM(C113)</f>
        <v>0</v>
      </c>
      <c r="D112" s="46">
        <f t="shared" ref="D112:M112" si="53">SUM(D113)</f>
        <v>0</v>
      </c>
      <c r="E112" s="46">
        <f t="shared" si="53"/>
        <v>40000000</v>
      </c>
      <c r="F112" s="46">
        <f t="shared" si="31"/>
        <v>40000000</v>
      </c>
      <c r="G112" s="46">
        <f t="shared" si="53"/>
        <v>0</v>
      </c>
      <c r="H112" s="46">
        <f t="shared" si="33"/>
        <v>40000000</v>
      </c>
      <c r="I112" s="46">
        <f t="shared" si="53"/>
        <v>0</v>
      </c>
      <c r="J112" s="46">
        <f t="shared" si="53"/>
        <v>39644000</v>
      </c>
      <c r="K112" s="52">
        <f t="shared" si="34"/>
        <v>0.99109999999999998</v>
      </c>
      <c r="L112" s="45">
        <f t="shared" si="53"/>
        <v>0</v>
      </c>
      <c r="M112" s="45">
        <f t="shared" si="53"/>
        <v>21060178</v>
      </c>
      <c r="N112" s="52">
        <f t="shared" si="32"/>
        <v>0.52650445000000001</v>
      </c>
      <c r="O112" s="3" t="s">
        <v>194</v>
      </c>
      <c r="Q112" s="28"/>
    </row>
    <row r="113" spans="1:17" x14ac:dyDescent="0.2">
      <c r="A113" s="170" t="s">
        <v>295</v>
      </c>
      <c r="B113" s="47" t="s">
        <v>296</v>
      </c>
      <c r="C113" s="200">
        <v>0</v>
      </c>
      <c r="D113" s="32">
        <v>0</v>
      </c>
      <c r="E113" s="32">
        <v>40000000</v>
      </c>
      <c r="F113" s="32">
        <f t="shared" si="31"/>
        <v>40000000</v>
      </c>
      <c r="G113" s="32">
        <v>0</v>
      </c>
      <c r="H113" s="32">
        <f t="shared" si="33"/>
        <v>40000000</v>
      </c>
      <c r="I113" s="32">
        <v>0</v>
      </c>
      <c r="J113" s="32">
        <v>39644000</v>
      </c>
      <c r="K113" s="53">
        <f t="shared" si="34"/>
        <v>0.99109999999999998</v>
      </c>
      <c r="L113" s="37">
        <v>0</v>
      </c>
      <c r="M113" s="37">
        <v>21060178</v>
      </c>
      <c r="N113" s="53">
        <f t="shared" si="32"/>
        <v>0.52650445000000001</v>
      </c>
      <c r="O113" s="30" t="s">
        <v>195</v>
      </c>
      <c r="Q113" s="28"/>
    </row>
    <row r="114" spans="1:17" x14ac:dyDescent="0.2">
      <c r="A114" s="171" t="s">
        <v>92</v>
      </c>
      <c r="B114" s="54" t="s">
        <v>104</v>
      </c>
      <c r="C114" s="201">
        <v>124997973000</v>
      </c>
      <c r="D114" s="55">
        <v>0</v>
      </c>
      <c r="E114" s="55">
        <v>128246401511</v>
      </c>
      <c r="F114" s="55">
        <f t="shared" si="31"/>
        <v>253244374511</v>
      </c>
      <c r="G114" s="55">
        <v>0</v>
      </c>
      <c r="H114" s="55">
        <f t="shared" si="33"/>
        <v>253244374511</v>
      </c>
      <c r="I114" s="55">
        <v>0</v>
      </c>
      <c r="J114" s="55">
        <v>0</v>
      </c>
      <c r="K114" s="56">
        <f t="shared" si="34"/>
        <v>0</v>
      </c>
      <c r="L114" s="37">
        <v>0</v>
      </c>
      <c r="M114" s="37">
        <v>0</v>
      </c>
      <c r="N114" s="56">
        <f t="shared" si="32"/>
        <v>0</v>
      </c>
      <c r="O114" s="31" t="s">
        <v>195</v>
      </c>
      <c r="Q114" s="28"/>
    </row>
  </sheetData>
  <autoFilter ref="A1:Q114" xr:uid="{00000000-0001-0000-0100-000000000000}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R116"/>
  <sheetViews>
    <sheetView tabSelected="1" zoomScale="85" zoomScaleNormal="85" workbookViewId="0">
      <pane xSplit="3" ySplit="9" topLeftCell="G10" activePane="bottomRight" state="frozen"/>
      <selection activeCell="B1" sqref="B1"/>
      <selection pane="topRight" activeCell="D1" sqref="D1"/>
      <selection pane="bottomLeft" activeCell="B10" sqref="B10"/>
      <selection pane="bottomRight" activeCell="L10" sqref="L10"/>
    </sheetView>
  </sheetViews>
  <sheetFormatPr baseColWidth="10" defaultColWidth="9.140625" defaultRowHeight="12.75" x14ac:dyDescent="0.2"/>
  <cols>
    <col min="1" max="1" width="9.140625" style="86" hidden="1" customWidth="1"/>
    <col min="2" max="2" width="28.28515625" style="86" customWidth="1"/>
    <col min="3" max="3" width="78.5703125" style="86" customWidth="1"/>
    <col min="4" max="7" width="21.28515625" style="86" customWidth="1"/>
    <col min="8" max="8" width="18" style="86" customWidth="1"/>
    <col min="9" max="11" width="21.28515625" style="86" customWidth="1"/>
    <col min="12" max="12" width="8.7109375" style="86" customWidth="1"/>
    <col min="13" max="14" width="21.28515625" style="86" customWidth="1"/>
    <col min="15" max="15" width="8.7109375" style="86" customWidth="1"/>
    <col min="16" max="16" width="5.7109375" style="203" bestFit="1" customWidth="1"/>
    <col min="17" max="17" width="17.42578125" style="86" bestFit="1" customWidth="1"/>
    <col min="18" max="18" width="12.7109375" style="86" bestFit="1" customWidth="1"/>
    <col min="19" max="16384" width="9.140625" style="86"/>
  </cols>
  <sheetData>
    <row r="1" spans="2:18" s="106" customFormat="1" x14ac:dyDescent="0.2">
      <c r="B1" s="104"/>
      <c r="C1" s="105"/>
      <c r="D1" s="105"/>
      <c r="E1" s="105"/>
      <c r="F1" s="105"/>
      <c r="L1" s="107"/>
      <c r="O1" s="107"/>
      <c r="P1" s="202"/>
    </row>
    <row r="2" spans="2:18" s="106" customFormat="1" ht="20.25" x14ac:dyDescent="0.2">
      <c r="B2" s="108"/>
      <c r="C2" s="105"/>
      <c r="D2" s="109"/>
      <c r="E2" s="109"/>
      <c r="G2" s="109"/>
      <c r="H2" s="110" t="s">
        <v>247</v>
      </c>
      <c r="I2" s="109"/>
      <c r="J2" s="109"/>
      <c r="K2" s="109"/>
      <c r="L2" s="111"/>
      <c r="M2" s="109"/>
      <c r="N2" s="109"/>
      <c r="O2" s="112"/>
      <c r="P2" s="202"/>
    </row>
    <row r="3" spans="2:18" s="106" customFormat="1" x14ac:dyDescent="0.2">
      <c r="B3" s="108"/>
      <c r="C3" s="105"/>
      <c r="D3" s="113"/>
      <c r="E3" s="113"/>
      <c r="G3" s="113"/>
      <c r="H3" s="113"/>
      <c r="I3" s="113"/>
      <c r="J3" s="113"/>
      <c r="K3" s="113"/>
      <c r="L3" s="114"/>
      <c r="M3" s="113"/>
      <c r="N3" s="113"/>
      <c r="O3" s="115"/>
      <c r="P3" s="202"/>
    </row>
    <row r="4" spans="2:18" s="106" customFormat="1" ht="20.25" x14ac:dyDescent="0.2">
      <c r="B4" s="108"/>
      <c r="C4" s="105"/>
      <c r="D4" s="113"/>
      <c r="E4" s="113"/>
      <c r="G4" s="113"/>
      <c r="H4" s="116" t="s">
        <v>318</v>
      </c>
      <c r="I4" s="113"/>
      <c r="J4" s="113"/>
      <c r="K4" s="113"/>
      <c r="L4" s="113"/>
      <c r="M4" s="113"/>
      <c r="N4" s="113"/>
      <c r="O4" s="115"/>
      <c r="P4" s="202"/>
    </row>
    <row r="6" spans="2:18" ht="30" customHeight="1" x14ac:dyDescent="0.2"/>
    <row r="7" spans="2:18" s="106" customFormat="1" ht="11.25" customHeight="1" x14ac:dyDescent="0.2">
      <c r="B7" s="134" t="s">
        <v>203</v>
      </c>
      <c r="C7" s="135" t="s">
        <v>204</v>
      </c>
      <c r="D7" s="135" t="s">
        <v>205</v>
      </c>
      <c r="E7" s="135" t="s">
        <v>206</v>
      </c>
      <c r="F7" s="135" t="s">
        <v>207</v>
      </c>
      <c r="G7" s="135" t="s">
        <v>208</v>
      </c>
      <c r="H7" s="135" t="s">
        <v>209</v>
      </c>
      <c r="I7" s="135" t="s">
        <v>208</v>
      </c>
      <c r="J7" s="135" t="s">
        <v>210</v>
      </c>
      <c r="K7" s="135" t="s">
        <v>211</v>
      </c>
      <c r="L7" s="136" t="s">
        <v>212</v>
      </c>
      <c r="M7" s="137" t="s">
        <v>213</v>
      </c>
      <c r="N7" s="135" t="s">
        <v>214</v>
      </c>
      <c r="O7" s="136" t="s">
        <v>215</v>
      </c>
      <c r="P7" s="202"/>
    </row>
    <row r="8" spans="2:18" s="106" customFormat="1" ht="11.25" customHeight="1" x14ac:dyDescent="0.2">
      <c r="B8" s="134"/>
      <c r="C8" s="135"/>
      <c r="D8" s="135"/>
      <c r="E8" s="135" t="s">
        <v>216</v>
      </c>
      <c r="F8" s="135" t="s">
        <v>217</v>
      </c>
      <c r="G8" s="135" t="s">
        <v>218</v>
      </c>
      <c r="H8" s="135" t="s">
        <v>219</v>
      </c>
      <c r="I8" s="135" t="s">
        <v>220</v>
      </c>
      <c r="J8" s="135"/>
      <c r="K8" s="135" t="s">
        <v>221</v>
      </c>
      <c r="L8" s="136"/>
      <c r="M8" s="137"/>
      <c r="N8" s="135" t="s">
        <v>221</v>
      </c>
      <c r="O8" s="136"/>
      <c r="P8" s="202"/>
    </row>
    <row r="9" spans="2:18" s="106" customFormat="1" ht="11.25" customHeight="1" x14ac:dyDescent="0.2">
      <c r="B9" s="134">
        <v>1</v>
      </c>
      <c r="C9" s="135">
        <v>2</v>
      </c>
      <c r="D9" s="135">
        <v>3</v>
      </c>
      <c r="E9" s="135">
        <v>4</v>
      </c>
      <c r="F9" s="135">
        <v>5</v>
      </c>
      <c r="G9" s="135" t="s">
        <v>222</v>
      </c>
      <c r="H9" s="135">
        <v>7</v>
      </c>
      <c r="I9" s="135" t="s">
        <v>223</v>
      </c>
      <c r="J9" s="135">
        <v>9</v>
      </c>
      <c r="K9" s="135">
        <v>10</v>
      </c>
      <c r="L9" s="136" t="s">
        <v>224</v>
      </c>
      <c r="M9" s="135">
        <v>12</v>
      </c>
      <c r="N9" s="135">
        <v>13</v>
      </c>
      <c r="O9" s="136" t="s">
        <v>225</v>
      </c>
      <c r="P9" s="202"/>
    </row>
    <row r="10" spans="2:18" ht="17.25" customHeight="1" x14ac:dyDescent="0.2">
      <c r="B10" s="172" t="s">
        <v>15</v>
      </c>
      <c r="C10" s="141" t="s">
        <v>13</v>
      </c>
      <c r="D10" s="142">
        <f>+D11+D62+D75</f>
        <v>538478104000</v>
      </c>
      <c r="E10" s="142">
        <f>+E11+E62+E75</f>
        <v>0</v>
      </c>
      <c r="F10" s="142">
        <f>+F11+F62+F75</f>
        <v>71295409040</v>
      </c>
      <c r="G10" s="142">
        <f>+D10+F10</f>
        <v>609773513040</v>
      </c>
      <c r="H10" s="142">
        <f>+H11+H62+H75</f>
        <v>0</v>
      </c>
      <c r="I10" s="142">
        <f>+G10-H10</f>
        <v>609773513040</v>
      </c>
      <c r="J10" s="142">
        <f>+J11+J62+J75</f>
        <v>53272921733</v>
      </c>
      <c r="K10" s="142">
        <f>+K11+K62+K75</f>
        <v>421247738363</v>
      </c>
      <c r="L10" s="143">
        <f>IFERROR(K10/I10,0)</f>
        <v>0.69082655995155851</v>
      </c>
      <c r="M10" s="142">
        <f>+M11+M62+M75</f>
        <v>36065865538</v>
      </c>
      <c r="N10" s="142">
        <f>+N11+N62+N75</f>
        <v>136158106773</v>
      </c>
      <c r="O10" s="143">
        <f>IFERROR(N10/I10,0)</f>
        <v>0.22329291755260003</v>
      </c>
      <c r="P10" s="204">
        <f>LEN(B10)</f>
        <v>2</v>
      </c>
      <c r="Q10" s="131"/>
      <c r="R10" s="131"/>
    </row>
    <row r="11" spans="2:18" ht="17.25" customHeight="1" x14ac:dyDescent="0.2">
      <c r="B11" s="172" t="s">
        <v>16</v>
      </c>
      <c r="C11" s="141" t="s">
        <v>17</v>
      </c>
      <c r="D11" s="142">
        <f>+D12+D41+D53+D57</f>
        <v>53905326000</v>
      </c>
      <c r="E11" s="142">
        <f>+E12+E41+E53+E57</f>
        <v>0</v>
      </c>
      <c r="F11" s="142">
        <f>+F12+F41+F53+F57</f>
        <v>5016244607</v>
      </c>
      <c r="G11" s="142">
        <f t="shared" ref="G11:G62" si="0">+D11+F11</f>
        <v>58921570607</v>
      </c>
      <c r="H11" s="142">
        <f>+H12+H41+H53+H57</f>
        <v>0</v>
      </c>
      <c r="I11" s="142">
        <f t="shared" ref="I11:I62" si="1">+G11-H11</f>
        <v>58921570607</v>
      </c>
      <c r="J11" s="142">
        <f>+J12+J41+J53+J57</f>
        <v>5280132969</v>
      </c>
      <c r="K11" s="142">
        <f>+K12+K41+K53+K57</f>
        <v>44074969660</v>
      </c>
      <c r="L11" s="143">
        <f t="shared" ref="L11:L62" si="2">IFERROR(K11/I11,0)</f>
        <v>0.74802774613689282</v>
      </c>
      <c r="M11" s="142">
        <f>+M12+M41+M53+M57</f>
        <v>4069042587</v>
      </c>
      <c r="N11" s="142">
        <f>+N12+N41+N53+N57</f>
        <v>37540999537</v>
      </c>
      <c r="O11" s="143">
        <f t="shared" ref="O11:O63" si="3">IFERROR(N11/I11,0)</f>
        <v>0.63713507888976828</v>
      </c>
      <c r="P11" s="204">
        <f t="shared" ref="P11:P74" si="4">LEN(B11)</f>
        <v>3</v>
      </c>
      <c r="Q11" s="131"/>
      <c r="R11" s="131"/>
    </row>
    <row r="12" spans="2:18" ht="17.25" customHeight="1" x14ac:dyDescent="0.2">
      <c r="B12" s="172" t="s">
        <v>18</v>
      </c>
      <c r="C12" s="141" t="s">
        <v>19</v>
      </c>
      <c r="D12" s="142">
        <f>+D13</f>
        <v>19490091000</v>
      </c>
      <c r="E12" s="142">
        <f>+E13</f>
        <v>0</v>
      </c>
      <c r="F12" s="142">
        <f>+F13</f>
        <v>-627732527</v>
      </c>
      <c r="G12" s="142">
        <f t="shared" si="0"/>
        <v>18862358473</v>
      </c>
      <c r="H12" s="142">
        <f>+H13</f>
        <v>0</v>
      </c>
      <c r="I12" s="142">
        <f t="shared" si="1"/>
        <v>18862358473</v>
      </c>
      <c r="J12" s="142">
        <f>+J13</f>
        <v>3101563441</v>
      </c>
      <c r="K12" s="142">
        <f>+K13</f>
        <v>17848373169</v>
      </c>
      <c r="L12" s="143">
        <f t="shared" si="2"/>
        <v>0.94624292049949954</v>
      </c>
      <c r="M12" s="142">
        <f>+M13</f>
        <v>2093629063</v>
      </c>
      <c r="N12" s="142">
        <f>+N13</f>
        <v>16824125887</v>
      </c>
      <c r="O12" s="143">
        <f t="shared" si="3"/>
        <v>0.89194179567112075</v>
      </c>
      <c r="P12" s="204">
        <f t="shared" si="4"/>
        <v>4</v>
      </c>
      <c r="Q12" s="131"/>
      <c r="R12" s="131"/>
    </row>
    <row r="13" spans="2:18" ht="17.25" customHeight="1" x14ac:dyDescent="0.2">
      <c r="B13" s="164" t="s">
        <v>20</v>
      </c>
      <c r="C13" s="138" t="s">
        <v>21</v>
      </c>
      <c r="D13" s="139">
        <f>+D14+D27+D35</f>
        <v>19490091000</v>
      </c>
      <c r="E13" s="139">
        <f>+E14+E27+E35</f>
        <v>0</v>
      </c>
      <c r="F13" s="139">
        <f>+F14+F27+F35</f>
        <v>-627732527</v>
      </c>
      <c r="G13" s="139">
        <f t="shared" si="0"/>
        <v>18862358473</v>
      </c>
      <c r="H13" s="139">
        <f>+H14+H27+H35</f>
        <v>0</v>
      </c>
      <c r="I13" s="139">
        <f t="shared" si="1"/>
        <v>18862358473</v>
      </c>
      <c r="J13" s="139">
        <f>+J14+J27+J35</f>
        <v>3101563441</v>
      </c>
      <c r="K13" s="139">
        <f>+K14+K27+K35</f>
        <v>17848373169</v>
      </c>
      <c r="L13" s="140">
        <f t="shared" si="2"/>
        <v>0.94624292049949954</v>
      </c>
      <c r="M13" s="139">
        <f>+M14+M27+M35</f>
        <v>2093629063</v>
      </c>
      <c r="N13" s="139">
        <f>+N14+N27+N35</f>
        <v>16824125887</v>
      </c>
      <c r="O13" s="140">
        <f t="shared" si="3"/>
        <v>0.89194179567112075</v>
      </c>
      <c r="P13" s="204">
        <f t="shared" si="4"/>
        <v>6</v>
      </c>
      <c r="Q13" s="131"/>
      <c r="R13" s="131"/>
    </row>
    <row r="14" spans="2:18" ht="17.25" customHeight="1" x14ac:dyDescent="0.2">
      <c r="B14" s="164" t="s">
        <v>22</v>
      </c>
      <c r="C14" s="138" t="s">
        <v>99</v>
      </c>
      <c r="D14" s="139">
        <f>+D15</f>
        <v>13066324000</v>
      </c>
      <c r="E14" s="139">
        <f>+E15</f>
        <v>0</v>
      </c>
      <c r="F14" s="139">
        <f>+F15</f>
        <v>192000000</v>
      </c>
      <c r="G14" s="139">
        <f t="shared" si="0"/>
        <v>13258324000</v>
      </c>
      <c r="H14" s="139">
        <f>+H15</f>
        <v>0</v>
      </c>
      <c r="I14" s="139">
        <f t="shared" si="1"/>
        <v>13258324000</v>
      </c>
      <c r="J14" s="139">
        <f>+J15</f>
        <v>1836345816</v>
      </c>
      <c r="K14" s="139">
        <f>+K15</f>
        <v>12768909403</v>
      </c>
      <c r="L14" s="140">
        <f t="shared" si="2"/>
        <v>0.96308623948245642</v>
      </c>
      <c r="M14" s="139">
        <f>+M15</f>
        <v>1852658720</v>
      </c>
      <c r="N14" s="139">
        <f>+N15</f>
        <v>12768909403</v>
      </c>
      <c r="O14" s="140">
        <f t="shared" si="3"/>
        <v>0.96308623948245642</v>
      </c>
      <c r="P14" s="204">
        <f t="shared" si="4"/>
        <v>8</v>
      </c>
      <c r="Q14" s="131"/>
      <c r="R14" s="131"/>
    </row>
    <row r="15" spans="2:18" ht="17.25" customHeight="1" x14ac:dyDescent="0.2">
      <c r="B15" s="164" t="s">
        <v>23</v>
      </c>
      <c r="C15" s="138" t="s">
        <v>24</v>
      </c>
      <c r="D15" s="139">
        <f>SUM(D16:D23)+D26</f>
        <v>13066324000</v>
      </c>
      <c r="E15" s="139">
        <f>SUM(E16:E23)+E26</f>
        <v>0</v>
      </c>
      <c r="F15" s="139">
        <f>SUM(F16:F23)+F26</f>
        <v>192000000</v>
      </c>
      <c r="G15" s="139">
        <f t="shared" si="0"/>
        <v>13258324000</v>
      </c>
      <c r="H15" s="139">
        <f>SUM(H16:H23)+H26</f>
        <v>0</v>
      </c>
      <c r="I15" s="139">
        <f t="shared" si="1"/>
        <v>13258324000</v>
      </c>
      <c r="J15" s="139">
        <f>SUM(J16:J23)+J26</f>
        <v>1836345816</v>
      </c>
      <c r="K15" s="139">
        <f>SUM(K16:K23)+K26</f>
        <v>12768909403</v>
      </c>
      <c r="L15" s="140">
        <f t="shared" si="2"/>
        <v>0.96308623948245642</v>
      </c>
      <c r="M15" s="139">
        <f>SUM(M16:M23)+M26</f>
        <v>1852658720</v>
      </c>
      <c r="N15" s="139">
        <f>SUM(N16:N23)+N26</f>
        <v>12768909403</v>
      </c>
      <c r="O15" s="140">
        <f t="shared" si="3"/>
        <v>0.96308623948245642</v>
      </c>
      <c r="P15" s="204">
        <f t="shared" si="4"/>
        <v>11</v>
      </c>
      <c r="Q15" s="131"/>
      <c r="R15" s="131"/>
    </row>
    <row r="16" spans="2:18" ht="17.25" customHeight="1" x14ac:dyDescent="0.2">
      <c r="B16" s="163" t="s">
        <v>25</v>
      </c>
      <c r="C16" s="144" t="s">
        <v>133</v>
      </c>
      <c r="D16" s="145">
        <f>VLOOKUP($B16,DATOS!$A$1:$N$114,3,FALSE)</f>
        <v>7646585000</v>
      </c>
      <c r="E16" s="145">
        <f>VLOOKUP($B16,DATOS!$A$1:$N$114,4,FALSE)</f>
        <v>0</v>
      </c>
      <c r="F16" s="145">
        <f>VLOOKUP($B16,DATOS!$A$1:$N$114,5,FALSE)</f>
        <v>37000000</v>
      </c>
      <c r="G16" s="145">
        <f t="shared" si="0"/>
        <v>7683585000</v>
      </c>
      <c r="H16" s="145">
        <f>VLOOKUP($B16,DATOS!$A$1:$N$114,7,FALSE)</f>
        <v>0</v>
      </c>
      <c r="I16" s="145">
        <f t="shared" si="1"/>
        <v>7683585000</v>
      </c>
      <c r="J16" s="145">
        <f>VLOOKUP($B16,DATOS!$A$1:$N$114,9,FALSE)</f>
        <v>643362431</v>
      </c>
      <c r="K16" s="145">
        <f>VLOOKUP($B16,DATOS!$A$1:$N$114,10,FALSE)</f>
        <v>7653374087</v>
      </c>
      <c r="L16" s="146">
        <f t="shared" si="2"/>
        <v>0.99606812275780121</v>
      </c>
      <c r="M16" s="145">
        <f>VLOOKUP($B16,DATOS!$A$1:$N$114,12,FALSE)</f>
        <v>659675335</v>
      </c>
      <c r="N16" s="145">
        <f>VLOOKUP($B16,DATOS!$A$1:$N$114,13,FALSE)</f>
        <v>7653374087</v>
      </c>
      <c r="O16" s="146">
        <f t="shared" si="3"/>
        <v>0.99606812275780121</v>
      </c>
      <c r="P16" s="204">
        <f t="shared" si="4"/>
        <v>13</v>
      </c>
      <c r="Q16" s="131"/>
      <c r="R16" s="131"/>
    </row>
    <row r="17" spans="2:18" ht="17.25" customHeight="1" x14ac:dyDescent="0.2">
      <c r="B17" s="163" t="s">
        <v>26</v>
      </c>
      <c r="C17" s="144" t="s">
        <v>134</v>
      </c>
      <c r="D17" s="145">
        <f>VLOOKUP($B17,DATOS!$A$1:$N$114,3,FALSE)</f>
        <v>340595000</v>
      </c>
      <c r="E17" s="145">
        <f>VLOOKUP($B17,DATOS!$A$1:$N$114,4,FALSE)</f>
        <v>0</v>
      </c>
      <c r="F17" s="145">
        <f>VLOOKUP($B17,DATOS!$A$1:$N$114,5,FALSE)</f>
        <v>-298000000</v>
      </c>
      <c r="G17" s="145">
        <f t="shared" si="0"/>
        <v>42595000</v>
      </c>
      <c r="H17" s="145">
        <f>VLOOKUP($B17,DATOS!$A$1:$N$114,7,FALSE)</f>
        <v>0</v>
      </c>
      <c r="I17" s="145">
        <f t="shared" si="1"/>
        <v>42595000</v>
      </c>
      <c r="J17" s="145">
        <f>VLOOKUP($B17,DATOS!$A$1:$N$114,9,FALSE)</f>
        <v>2832852</v>
      </c>
      <c r="K17" s="145">
        <f>VLOOKUP($B17,DATOS!$A$1:$N$114,10,FALSE)</f>
        <v>39981456</v>
      </c>
      <c r="L17" s="146">
        <f t="shared" si="2"/>
        <v>0.93864200023476929</v>
      </c>
      <c r="M17" s="145">
        <f>VLOOKUP($B17,DATOS!$A$1:$N$114,12,FALSE)</f>
        <v>2832852</v>
      </c>
      <c r="N17" s="145">
        <f>VLOOKUP($B17,DATOS!$A$1:$N$114,13,FALSE)</f>
        <v>39981456</v>
      </c>
      <c r="O17" s="146">
        <f t="shared" si="3"/>
        <v>0.93864200023476929</v>
      </c>
      <c r="P17" s="204">
        <f t="shared" si="4"/>
        <v>13</v>
      </c>
      <c r="Q17" s="131"/>
      <c r="R17" s="131"/>
    </row>
    <row r="18" spans="2:18" ht="17.25" customHeight="1" x14ac:dyDescent="0.2">
      <c r="B18" s="163" t="s">
        <v>27</v>
      </c>
      <c r="C18" s="144" t="s">
        <v>135</v>
      </c>
      <c r="D18" s="145">
        <f>VLOOKUP($B18,DATOS!$A$1:$N$114,3,FALSE)</f>
        <v>1042714000</v>
      </c>
      <c r="E18" s="145">
        <f>VLOOKUP($B18,DATOS!$A$1:$N$114,4,FALSE)</f>
        <v>0</v>
      </c>
      <c r="F18" s="145">
        <f>VLOOKUP($B18,DATOS!$A$1:$N$114,5,FALSE)</f>
        <v>-45000000</v>
      </c>
      <c r="G18" s="145">
        <f t="shared" si="0"/>
        <v>997714000</v>
      </c>
      <c r="H18" s="145">
        <f>VLOOKUP($B18,DATOS!$A$1:$N$114,7,FALSE)</f>
        <v>0</v>
      </c>
      <c r="I18" s="145">
        <f t="shared" si="1"/>
        <v>997714000</v>
      </c>
      <c r="J18" s="145">
        <f>VLOOKUP($B18,DATOS!$A$1:$N$114,9,FALSE)</f>
        <v>85878529</v>
      </c>
      <c r="K18" s="145">
        <f>VLOOKUP($B18,DATOS!$A$1:$N$114,10,FALSE)</f>
        <v>974016654</v>
      </c>
      <c r="L18" s="146">
        <f t="shared" si="2"/>
        <v>0.97624835774580687</v>
      </c>
      <c r="M18" s="145">
        <f>VLOOKUP($B18,DATOS!$A$1:$N$114,12,FALSE)</f>
        <v>85878529</v>
      </c>
      <c r="N18" s="145">
        <f>VLOOKUP($B18,DATOS!$A$1:$N$114,13,FALSE)</f>
        <v>974016654</v>
      </c>
      <c r="O18" s="146">
        <f t="shared" si="3"/>
        <v>0.97624835774580687</v>
      </c>
      <c r="P18" s="204">
        <f t="shared" si="4"/>
        <v>13</v>
      </c>
      <c r="Q18" s="131"/>
      <c r="R18" s="131"/>
    </row>
    <row r="19" spans="2:18" ht="17.25" customHeight="1" x14ac:dyDescent="0.2">
      <c r="B19" s="163" t="s">
        <v>28</v>
      </c>
      <c r="C19" s="144" t="s">
        <v>136</v>
      </c>
      <c r="D19" s="145">
        <f>VLOOKUP($B19,DATOS!$A$1:$N$114,3,FALSE)</f>
        <v>1177000</v>
      </c>
      <c r="E19" s="145">
        <f>VLOOKUP($B19,DATOS!$A$1:$N$114,4,FALSE)</f>
        <v>0</v>
      </c>
      <c r="F19" s="145">
        <f>VLOOKUP($B19,DATOS!$A$1:$N$114,5,FALSE)</f>
        <v>500000</v>
      </c>
      <c r="G19" s="145">
        <f t="shared" si="0"/>
        <v>1677000</v>
      </c>
      <c r="H19" s="145">
        <f>VLOOKUP($B19,DATOS!$A$1:$N$114,7,FALSE)</f>
        <v>0</v>
      </c>
      <c r="I19" s="145">
        <f t="shared" si="1"/>
        <v>1677000</v>
      </c>
      <c r="J19" s="145">
        <f>VLOOKUP($B19,DATOS!$A$1:$N$114,9,FALSE)</f>
        <v>69252</v>
      </c>
      <c r="K19" s="145">
        <f>VLOOKUP($B19,DATOS!$A$1:$N$114,10,FALSE)</f>
        <v>1098135</v>
      </c>
      <c r="L19" s="146">
        <f t="shared" si="2"/>
        <v>0.65482110912343472</v>
      </c>
      <c r="M19" s="145">
        <f>VLOOKUP($B19,DATOS!$A$1:$N$114,12,FALSE)</f>
        <v>69252</v>
      </c>
      <c r="N19" s="145">
        <f>VLOOKUP($B19,DATOS!$A$1:$N$114,13,FALSE)</f>
        <v>1098135</v>
      </c>
      <c r="O19" s="146">
        <f t="shared" si="3"/>
        <v>0.65482110912343472</v>
      </c>
      <c r="P19" s="204">
        <f t="shared" si="4"/>
        <v>13</v>
      </c>
      <c r="Q19" s="131"/>
      <c r="R19" s="131"/>
    </row>
    <row r="20" spans="2:18" ht="17.25" customHeight="1" x14ac:dyDescent="0.2">
      <c r="B20" s="163" t="s">
        <v>29</v>
      </c>
      <c r="C20" s="144" t="s">
        <v>137</v>
      </c>
      <c r="D20" s="145">
        <f>VLOOKUP($B20,DATOS!$A$1:$N$114,3,FALSE)</f>
        <v>2003000</v>
      </c>
      <c r="E20" s="145">
        <f>VLOOKUP($B20,DATOS!$A$1:$N$114,4,FALSE)</f>
        <v>0</v>
      </c>
      <c r="F20" s="145">
        <f>VLOOKUP($B20,DATOS!$A$1:$N$114,5,FALSE)</f>
        <v>1000000</v>
      </c>
      <c r="G20" s="145">
        <f t="shared" si="0"/>
        <v>3003000</v>
      </c>
      <c r="H20" s="145">
        <f>VLOOKUP($B20,DATOS!$A$1:$N$114,7,FALSE)</f>
        <v>0</v>
      </c>
      <c r="I20" s="145">
        <f t="shared" si="1"/>
        <v>3003000</v>
      </c>
      <c r="J20" s="145">
        <f>VLOOKUP($B20,DATOS!$A$1:$N$114,9,FALSE)</f>
        <v>140000</v>
      </c>
      <c r="K20" s="145">
        <f>VLOOKUP($B20,DATOS!$A$1:$N$114,10,FALSE)</f>
        <v>2220000</v>
      </c>
      <c r="L20" s="146">
        <f t="shared" si="2"/>
        <v>0.73926073926073921</v>
      </c>
      <c r="M20" s="145">
        <f>VLOOKUP($B20,DATOS!$A$1:$N$114,12,FALSE)</f>
        <v>140000</v>
      </c>
      <c r="N20" s="145">
        <f>VLOOKUP($B20,DATOS!$A$1:$N$114,13,FALSE)</f>
        <v>2220000</v>
      </c>
      <c r="O20" s="146">
        <f t="shared" si="3"/>
        <v>0.73926073926073921</v>
      </c>
      <c r="P20" s="204">
        <f t="shared" si="4"/>
        <v>13</v>
      </c>
      <c r="Q20" s="131"/>
      <c r="R20" s="131"/>
    </row>
    <row r="21" spans="2:18" ht="17.25" customHeight="1" x14ac:dyDescent="0.2">
      <c r="B21" s="163" t="s">
        <v>30</v>
      </c>
      <c r="C21" s="144" t="s">
        <v>138</v>
      </c>
      <c r="D21" s="145">
        <f>VLOOKUP($B21,DATOS!$A$1:$N$114,3,FALSE)</f>
        <v>748685000</v>
      </c>
      <c r="E21" s="145">
        <f>VLOOKUP($B21,DATOS!$A$1:$N$114,4,FALSE)</f>
        <v>0</v>
      </c>
      <c r="F21" s="145">
        <f>VLOOKUP($B21,DATOS!$A$1:$N$114,5,FALSE)</f>
        <v>534000000</v>
      </c>
      <c r="G21" s="145">
        <f t="shared" si="0"/>
        <v>1282685000</v>
      </c>
      <c r="H21" s="145">
        <f>VLOOKUP($B21,DATOS!$A$1:$N$114,7,FALSE)</f>
        <v>0</v>
      </c>
      <c r="I21" s="145">
        <f t="shared" si="1"/>
        <v>1282685000</v>
      </c>
      <c r="J21" s="145">
        <f>VLOOKUP($B21,DATOS!$A$1:$N$114,9,FALSE)</f>
        <v>0</v>
      </c>
      <c r="K21" s="145">
        <f>VLOOKUP($B21,DATOS!$A$1:$N$114,10,FALSE)</f>
        <v>1185550783</v>
      </c>
      <c r="L21" s="146">
        <f t="shared" si="2"/>
        <v>0.92427274272327187</v>
      </c>
      <c r="M21" s="145">
        <f>VLOOKUP($B21,DATOS!$A$1:$N$114,12,FALSE)</f>
        <v>0</v>
      </c>
      <c r="N21" s="145">
        <f>VLOOKUP($B21,DATOS!$A$1:$N$114,13,FALSE)</f>
        <v>1185550783</v>
      </c>
      <c r="O21" s="146">
        <f t="shared" si="3"/>
        <v>0.92427274272327187</v>
      </c>
      <c r="P21" s="204">
        <f t="shared" si="4"/>
        <v>13</v>
      </c>
      <c r="Q21" s="131"/>
      <c r="R21" s="131"/>
    </row>
    <row r="22" spans="2:18" ht="17.25" customHeight="1" x14ac:dyDescent="0.2">
      <c r="B22" s="163" t="s">
        <v>31</v>
      </c>
      <c r="C22" s="144" t="s">
        <v>139</v>
      </c>
      <c r="D22" s="145">
        <f>VLOOKUP($B22,DATOS!$A$1:$N$114,3,FALSE)</f>
        <v>448072000</v>
      </c>
      <c r="E22" s="145">
        <f>VLOOKUP($B22,DATOS!$A$1:$N$114,4,FALSE)</f>
        <v>0</v>
      </c>
      <c r="F22" s="145">
        <f>VLOOKUP($B22,DATOS!$A$1:$N$114,5,FALSE)</f>
        <v>-120000000</v>
      </c>
      <c r="G22" s="145">
        <f t="shared" si="0"/>
        <v>328072000</v>
      </c>
      <c r="H22" s="145">
        <f>VLOOKUP($B22,DATOS!$A$1:$N$114,7,FALSE)</f>
        <v>0</v>
      </c>
      <c r="I22" s="145">
        <f t="shared" si="1"/>
        <v>328072000</v>
      </c>
      <c r="J22" s="145">
        <f>VLOOKUP($B22,DATOS!$A$1:$N$114,9,FALSE)</f>
        <v>1286728</v>
      </c>
      <c r="K22" s="145">
        <f>VLOOKUP($B22,DATOS!$A$1:$N$114,10,FALSE)</f>
        <v>253950654</v>
      </c>
      <c r="L22" s="146">
        <f t="shared" si="2"/>
        <v>0.77406988100173135</v>
      </c>
      <c r="M22" s="145">
        <f>VLOOKUP($B22,DATOS!$A$1:$N$114,12,FALSE)</f>
        <v>1286728</v>
      </c>
      <c r="N22" s="145">
        <f>VLOOKUP($B22,DATOS!$A$1:$N$114,13,FALSE)</f>
        <v>253950654</v>
      </c>
      <c r="O22" s="146">
        <f t="shared" si="3"/>
        <v>0.77406988100173135</v>
      </c>
      <c r="P22" s="204">
        <f t="shared" si="4"/>
        <v>13</v>
      </c>
      <c r="Q22" s="131"/>
      <c r="R22" s="131"/>
    </row>
    <row r="23" spans="2:18" s="119" customFormat="1" ht="17.25" customHeight="1" x14ac:dyDescent="0.25">
      <c r="B23" s="164" t="s">
        <v>32</v>
      </c>
      <c r="C23" s="138" t="s">
        <v>33</v>
      </c>
      <c r="D23" s="147">
        <f>SUM(D24:D25)</f>
        <v>1549053000</v>
      </c>
      <c r="E23" s="147">
        <f>SUM(E24:E25)</f>
        <v>0</v>
      </c>
      <c r="F23" s="147">
        <f>SUM(F24:F25)</f>
        <v>133000000</v>
      </c>
      <c r="G23" s="147">
        <f t="shared" si="0"/>
        <v>1682053000</v>
      </c>
      <c r="H23" s="147">
        <f>SUM(H24:H25)</f>
        <v>0</v>
      </c>
      <c r="I23" s="147">
        <f t="shared" si="1"/>
        <v>1682053000</v>
      </c>
      <c r="J23" s="147">
        <f>SUM(J24:J25)</f>
        <v>996255249</v>
      </c>
      <c r="K23" s="147">
        <f>SUM(K24:K25)</f>
        <v>1443812422</v>
      </c>
      <c r="L23" s="148">
        <f t="shared" si="2"/>
        <v>0.85836321566561813</v>
      </c>
      <c r="M23" s="147">
        <f>SUM(M24:M25)</f>
        <v>996255249</v>
      </c>
      <c r="N23" s="147">
        <f>SUM(N24:N25)</f>
        <v>1443812422</v>
      </c>
      <c r="O23" s="148">
        <f t="shared" si="3"/>
        <v>0.85836321566561813</v>
      </c>
      <c r="P23" s="204">
        <f t="shared" si="4"/>
        <v>13</v>
      </c>
      <c r="Q23" s="131"/>
      <c r="R23" s="131"/>
    </row>
    <row r="24" spans="2:18" ht="17.25" customHeight="1" x14ac:dyDescent="0.2">
      <c r="B24" s="163" t="s">
        <v>34</v>
      </c>
      <c r="C24" s="149" t="s">
        <v>140</v>
      </c>
      <c r="D24" s="145">
        <f>VLOOKUP($B24,DATOS!$A$1:$N$114,3,FALSE)</f>
        <v>1083358000</v>
      </c>
      <c r="E24" s="145">
        <f>VLOOKUP($B24,DATOS!$A$1:$N$114,4,FALSE)</f>
        <v>0</v>
      </c>
      <c r="F24" s="145">
        <f>VLOOKUP($B24,DATOS!$A$1:$N$114,5,FALSE)</f>
        <v>83000000</v>
      </c>
      <c r="G24" s="145">
        <f t="shared" si="0"/>
        <v>1166358000</v>
      </c>
      <c r="H24" s="145">
        <f>VLOOKUP($B24,DATOS!$A$1:$N$114,7,FALSE)</f>
        <v>0</v>
      </c>
      <c r="I24" s="145">
        <f t="shared" si="1"/>
        <v>1166358000</v>
      </c>
      <c r="J24" s="145">
        <f>VLOOKUP($B24,DATOS!$A$1:$N$114,9,FALSE)</f>
        <v>956334369</v>
      </c>
      <c r="K24" s="145">
        <f>VLOOKUP($B24,DATOS!$A$1:$N$114,10,FALSE)</f>
        <v>1023805449</v>
      </c>
      <c r="L24" s="146">
        <f t="shared" si="2"/>
        <v>0.87777976316019612</v>
      </c>
      <c r="M24" s="145">
        <f>VLOOKUP($B24,DATOS!$A$1:$N$114,12,FALSE)</f>
        <v>956334369</v>
      </c>
      <c r="N24" s="145">
        <f>VLOOKUP($B24,DATOS!$A$1:$N$114,13,FALSE)</f>
        <v>1023805449</v>
      </c>
      <c r="O24" s="146">
        <f t="shared" si="3"/>
        <v>0.87777976316019612</v>
      </c>
      <c r="P24" s="204">
        <f t="shared" si="4"/>
        <v>15</v>
      </c>
      <c r="Q24" s="131"/>
      <c r="R24" s="131"/>
    </row>
    <row r="25" spans="2:18" ht="17.25" customHeight="1" x14ac:dyDescent="0.2">
      <c r="B25" s="163" t="s">
        <v>35</v>
      </c>
      <c r="C25" s="149" t="s">
        <v>141</v>
      </c>
      <c r="D25" s="145">
        <f>VLOOKUP($B25,DATOS!$A$1:$N$114,3,FALSE)</f>
        <v>465695000</v>
      </c>
      <c r="E25" s="145">
        <f>VLOOKUP($B25,DATOS!$A$1:$N$114,4,FALSE)</f>
        <v>0</v>
      </c>
      <c r="F25" s="145">
        <f>VLOOKUP($B25,DATOS!$A$1:$N$114,5,FALSE)</f>
        <v>50000000</v>
      </c>
      <c r="G25" s="145">
        <f t="shared" si="0"/>
        <v>515695000</v>
      </c>
      <c r="H25" s="145">
        <f>VLOOKUP($B25,DATOS!$A$1:$N$114,7,FALSE)</f>
        <v>0</v>
      </c>
      <c r="I25" s="145">
        <f t="shared" si="1"/>
        <v>515695000</v>
      </c>
      <c r="J25" s="145">
        <f>VLOOKUP($B25,DATOS!$A$1:$N$114,9,FALSE)</f>
        <v>39920880</v>
      </c>
      <c r="K25" s="145">
        <f>VLOOKUP($B25,DATOS!$A$1:$N$114,10,FALSE)</f>
        <v>420006973</v>
      </c>
      <c r="L25" s="146">
        <f t="shared" si="2"/>
        <v>0.81444841039761873</v>
      </c>
      <c r="M25" s="145">
        <f>VLOOKUP($B25,DATOS!$A$1:$N$114,12,FALSE)</f>
        <v>39920880</v>
      </c>
      <c r="N25" s="145">
        <f>VLOOKUP($B25,DATOS!$A$1:$N$114,13,FALSE)</f>
        <v>420006973</v>
      </c>
      <c r="O25" s="146">
        <f t="shared" si="3"/>
        <v>0.81444841039761873</v>
      </c>
      <c r="P25" s="204">
        <f t="shared" si="4"/>
        <v>15</v>
      </c>
      <c r="Q25" s="131"/>
      <c r="R25" s="131"/>
    </row>
    <row r="26" spans="2:18" ht="17.25" customHeight="1" x14ac:dyDescent="0.2">
      <c r="B26" s="163" t="s">
        <v>36</v>
      </c>
      <c r="C26" s="144" t="s">
        <v>142</v>
      </c>
      <c r="D26" s="145">
        <f>VLOOKUP($B26,DATOS!$A$1:$N$114,3,FALSE)</f>
        <v>1287440000</v>
      </c>
      <c r="E26" s="145">
        <f>VLOOKUP($B26,DATOS!$A$1:$N$114,4,FALSE)</f>
        <v>0</v>
      </c>
      <c r="F26" s="145">
        <f>VLOOKUP($B26,DATOS!$A$1:$N$114,5,FALSE)</f>
        <v>-50500000</v>
      </c>
      <c r="G26" s="145">
        <f t="shared" si="0"/>
        <v>1236940000</v>
      </c>
      <c r="H26" s="145">
        <f>VLOOKUP($B26,DATOS!$A$1:$N$114,7,FALSE)</f>
        <v>0</v>
      </c>
      <c r="I26" s="145">
        <f t="shared" si="1"/>
        <v>1236940000</v>
      </c>
      <c r="J26" s="145">
        <f>VLOOKUP($B26,DATOS!$A$1:$N$114,9,FALSE)</f>
        <v>106520775</v>
      </c>
      <c r="K26" s="145">
        <f>VLOOKUP($B26,DATOS!$A$1:$N$114,10,FALSE)</f>
        <v>1214905212</v>
      </c>
      <c r="L26" s="146">
        <f t="shared" si="2"/>
        <v>0.9821860494445972</v>
      </c>
      <c r="M26" s="145">
        <f>VLOOKUP($B26,DATOS!$A$1:$N$114,12,FALSE)</f>
        <v>106520775</v>
      </c>
      <c r="N26" s="145">
        <f>VLOOKUP($B26,DATOS!$A$1:$N$114,13,FALSE)</f>
        <v>1214905212</v>
      </c>
      <c r="O26" s="146">
        <f t="shared" si="3"/>
        <v>0.9821860494445972</v>
      </c>
      <c r="P26" s="204">
        <f t="shared" si="4"/>
        <v>13</v>
      </c>
      <c r="Q26" s="131"/>
      <c r="R26" s="131"/>
    </row>
    <row r="27" spans="2:18" s="119" customFormat="1" ht="17.25" customHeight="1" x14ac:dyDescent="0.25">
      <c r="B27" s="164" t="s">
        <v>37</v>
      </c>
      <c r="C27" s="138" t="s">
        <v>100</v>
      </c>
      <c r="D27" s="147">
        <f>SUM(D28:D34)</f>
        <v>6131286000</v>
      </c>
      <c r="E27" s="147">
        <f>SUM(E28:E34)</f>
        <v>0</v>
      </c>
      <c r="F27" s="147">
        <f>SUM(F28:F34)</f>
        <v>-892732527</v>
      </c>
      <c r="G27" s="147">
        <f t="shared" si="0"/>
        <v>5238553473</v>
      </c>
      <c r="H27" s="147">
        <f>SUM(H28:H34)</f>
        <v>0</v>
      </c>
      <c r="I27" s="147">
        <f t="shared" si="1"/>
        <v>5238553473</v>
      </c>
      <c r="J27" s="147">
        <f>SUM(J28:J34)</f>
        <v>1255841482</v>
      </c>
      <c r="K27" s="147">
        <f>SUM(K28:K34)</f>
        <v>4844774921</v>
      </c>
      <c r="L27" s="148">
        <f t="shared" si="2"/>
        <v>0.92483067052201107</v>
      </c>
      <c r="M27" s="147">
        <f>SUM(M28:M34)</f>
        <v>231594200</v>
      </c>
      <c r="N27" s="147">
        <f>SUM(N28:N34)</f>
        <v>3820527639</v>
      </c>
      <c r="O27" s="148">
        <f t="shared" si="3"/>
        <v>0.72930965746390886</v>
      </c>
      <c r="P27" s="204">
        <f t="shared" si="4"/>
        <v>8</v>
      </c>
      <c r="Q27" s="131"/>
      <c r="R27" s="131"/>
    </row>
    <row r="28" spans="2:18" ht="17.25" customHeight="1" x14ac:dyDescent="0.2">
      <c r="B28" s="163" t="s">
        <v>38</v>
      </c>
      <c r="C28" s="144" t="s">
        <v>143</v>
      </c>
      <c r="D28" s="145">
        <f>VLOOKUP($B28,DATOS!$A$1:$N$114,3,FALSE)</f>
        <v>1289658000</v>
      </c>
      <c r="E28" s="145">
        <f>VLOOKUP($B28,DATOS!$A$1:$N$114,4,FALSE)</f>
        <v>0</v>
      </c>
      <c r="F28" s="145">
        <f>VLOOKUP($B28,DATOS!$A$1:$N$114,5,FALSE)</f>
        <v>-60000000</v>
      </c>
      <c r="G28" s="145">
        <f t="shared" si="0"/>
        <v>1229658000</v>
      </c>
      <c r="H28" s="145">
        <f>VLOOKUP($B28,DATOS!$A$1:$N$114,7,FALSE)</f>
        <v>0</v>
      </c>
      <c r="I28" s="145">
        <f t="shared" si="1"/>
        <v>1229658000</v>
      </c>
      <c r="J28" s="145">
        <f>VLOOKUP($B28,DATOS!$A$1:$N$114,9,FALSE)</f>
        <v>96521100</v>
      </c>
      <c r="K28" s="145">
        <f>VLOOKUP($B28,DATOS!$A$1:$N$114,10,FALSE)</f>
        <v>1173897600</v>
      </c>
      <c r="L28" s="146">
        <f t="shared" si="2"/>
        <v>0.95465373298917255</v>
      </c>
      <c r="M28" s="145">
        <f>VLOOKUP($B28,DATOS!$A$1:$N$114,12,FALSE)</f>
        <v>96521100</v>
      </c>
      <c r="N28" s="145">
        <f>VLOOKUP($B28,DATOS!$A$1:$N$114,13,FALSE)</f>
        <v>1173897600</v>
      </c>
      <c r="O28" s="146">
        <f t="shared" si="3"/>
        <v>0.95465373298917255</v>
      </c>
      <c r="P28" s="204">
        <f t="shared" si="4"/>
        <v>11</v>
      </c>
      <c r="Q28" s="131"/>
      <c r="R28" s="131"/>
    </row>
    <row r="29" spans="2:18" ht="17.25" customHeight="1" x14ac:dyDescent="0.2">
      <c r="B29" s="163" t="s">
        <v>39</v>
      </c>
      <c r="C29" s="144" t="s">
        <v>144</v>
      </c>
      <c r="D29" s="145">
        <f>VLOOKUP($B29,DATOS!$A$1:$N$114,3,FALSE)</f>
        <v>824934000</v>
      </c>
      <c r="E29" s="145">
        <f>VLOOKUP($B29,DATOS!$A$1:$N$114,4,FALSE)</f>
        <v>0</v>
      </c>
      <c r="F29" s="145">
        <f>VLOOKUP($B29,DATOS!$A$1:$N$114,5,FALSE)</f>
        <v>-200000000</v>
      </c>
      <c r="G29" s="145">
        <f t="shared" si="0"/>
        <v>624934000</v>
      </c>
      <c r="H29" s="145">
        <f>VLOOKUP($B29,DATOS!$A$1:$N$114,7,FALSE)</f>
        <v>0</v>
      </c>
      <c r="I29" s="145">
        <f t="shared" si="1"/>
        <v>624934000</v>
      </c>
      <c r="J29" s="145">
        <f>VLOOKUP($B29,DATOS!$A$1:$N$114,9,FALSE)</f>
        <v>49593400</v>
      </c>
      <c r="K29" s="145">
        <f>VLOOKUP($B29,DATOS!$A$1:$N$114,10,FALSE)</f>
        <v>619600800</v>
      </c>
      <c r="L29" s="146">
        <f t="shared" si="2"/>
        <v>0.99146597880736209</v>
      </c>
      <c r="M29" s="145">
        <f>VLOOKUP($B29,DATOS!$A$1:$N$114,12,FALSE)</f>
        <v>49593400</v>
      </c>
      <c r="N29" s="145">
        <f>VLOOKUP($B29,DATOS!$A$1:$N$114,13,FALSE)</f>
        <v>619600800</v>
      </c>
      <c r="O29" s="146">
        <f t="shared" si="3"/>
        <v>0.99146597880736209</v>
      </c>
      <c r="P29" s="204">
        <f t="shared" si="4"/>
        <v>11</v>
      </c>
      <c r="Q29" s="131"/>
      <c r="R29" s="131"/>
    </row>
    <row r="30" spans="2:18" ht="17.25" customHeight="1" x14ac:dyDescent="0.2">
      <c r="B30" s="163" t="s">
        <v>40</v>
      </c>
      <c r="C30" s="144" t="s">
        <v>41</v>
      </c>
      <c r="D30" s="145">
        <f>VLOOKUP($B30,DATOS!$A$1:$N$114,3,FALSE)</f>
        <v>2690384000</v>
      </c>
      <c r="E30" s="145">
        <f>VLOOKUP($B30,DATOS!$A$1:$N$114,4,FALSE)</f>
        <v>0</v>
      </c>
      <c r="F30" s="145">
        <f>VLOOKUP($B30,DATOS!$A$1:$N$114,5,FALSE)</f>
        <v>-527732527</v>
      </c>
      <c r="G30" s="145">
        <f t="shared" si="0"/>
        <v>2162651473</v>
      </c>
      <c r="H30" s="145">
        <f>VLOOKUP($B30,DATOS!$A$1:$N$114,7,FALSE)</f>
        <v>0</v>
      </c>
      <c r="I30" s="145">
        <f t="shared" si="1"/>
        <v>2162651473</v>
      </c>
      <c r="J30" s="145">
        <f>VLOOKUP($B30,DATOS!$A$1:$N$114,9,FALSE)</f>
        <v>1024247282</v>
      </c>
      <c r="K30" s="145">
        <f>VLOOKUP($B30,DATOS!$A$1:$N$114,10,FALSE)</f>
        <v>1984247921</v>
      </c>
      <c r="L30" s="146">
        <f t="shared" si="2"/>
        <v>0.91750702587665633</v>
      </c>
      <c r="M30" s="145">
        <f>VLOOKUP($B30,DATOS!$A$1:$N$114,12,FALSE)</f>
        <v>0</v>
      </c>
      <c r="N30" s="145">
        <f>VLOOKUP($B30,DATOS!$A$1:$N$114,13,FALSE)</f>
        <v>960000639</v>
      </c>
      <c r="O30" s="146">
        <f t="shared" si="3"/>
        <v>0.4438998382241871</v>
      </c>
      <c r="P30" s="204">
        <f t="shared" si="4"/>
        <v>11</v>
      </c>
      <c r="Q30" s="131"/>
      <c r="R30" s="131"/>
    </row>
    <row r="31" spans="2:18" ht="17.25" customHeight="1" x14ac:dyDescent="0.2">
      <c r="B31" s="163" t="s">
        <v>44</v>
      </c>
      <c r="C31" s="144" t="s">
        <v>147</v>
      </c>
      <c r="D31" s="145">
        <f>VLOOKUP($B31,DATOS!$A$1:$N$114,3,FALSE)</f>
        <v>480938000</v>
      </c>
      <c r="E31" s="145">
        <f>VLOOKUP($B31,DATOS!$A$1:$N$114,4,FALSE)</f>
        <v>0</v>
      </c>
      <c r="F31" s="145">
        <f>VLOOKUP($B31,DATOS!$A$1:$N$114,5,FALSE)</f>
        <v>30000000</v>
      </c>
      <c r="G31" s="145">
        <f t="shared" si="0"/>
        <v>510938000</v>
      </c>
      <c r="H31" s="145">
        <f>VLOOKUP($B31,DATOS!$A$1:$N$114,7,FALSE)</f>
        <v>0</v>
      </c>
      <c r="I31" s="145">
        <f t="shared" si="1"/>
        <v>510938000</v>
      </c>
      <c r="J31" s="145">
        <f>VLOOKUP($B31,DATOS!$A$1:$N$114,9,FALSE)</f>
        <v>36054300</v>
      </c>
      <c r="K31" s="145">
        <f>VLOOKUP($B31,DATOS!$A$1:$N$114,10,FALSE)</f>
        <v>453635400</v>
      </c>
      <c r="L31" s="146">
        <f t="shared" si="2"/>
        <v>0.88784823207512453</v>
      </c>
      <c r="M31" s="145">
        <f>VLOOKUP($B31,DATOS!$A$1:$N$114,12,FALSE)</f>
        <v>36054300</v>
      </c>
      <c r="N31" s="145">
        <f>VLOOKUP($B31,DATOS!$A$1:$N$114,13,FALSE)</f>
        <v>453635400</v>
      </c>
      <c r="O31" s="146">
        <f t="shared" si="3"/>
        <v>0.88784823207512453</v>
      </c>
      <c r="P31" s="204">
        <f t="shared" si="4"/>
        <v>11</v>
      </c>
      <c r="Q31" s="131"/>
      <c r="R31" s="131"/>
    </row>
    <row r="32" spans="2:18" ht="17.25" customHeight="1" x14ac:dyDescent="0.2">
      <c r="B32" s="163" t="s">
        <v>45</v>
      </c>
      <c r="C32" s="144" t="s">
        <v>226</v>
      </c>
      <c r="D32" s="145">
        <f>VLOOKUP($B32,DATOS!$A$1:$N$114,3,FALSE)</f>
        <v>301740000</v>
      </c>
      <c r="E32" s="145">
        <f>VLOOKUP($B32,DATOS!$A$1:$N$114,4,FALSE)</f>
        <v>0</v>
      </c>
      <c r="F32" s="145">
        <f>VLOOKUP($B32,DATOS!$A$1:$N$114,5,FALSE)</f>
        <v>-100000000</v>
      </c>
      <c r="G32" s="145">
        <f t="shared" si="0"/>
        <v>201740000</v>
      </c>
      <c r="H32" s="145">
        <f>VLOOKUP($B32,DATOS!$A$1:$N$114,7,FALSE)</f>
        <v>0</v>
      </c>
      <c r="I32" s="145">
        <f t="shared" si="1"/>
        <v>201740000</v>
      </c>
      <c r="J32" s="145">
        <f>VLOOKUP($B32,DATOS!$A$1:$N$114,9,FALSE)</f>
        <v>15312700</v>
      </c>
      <c r="K32" s="145">
        <f>VLOOKUP($B32,DATOS!$A$1:$N$114,10,FALSE)</f>
        <v>180287000</v>
      </c>
      <c r="L32" s="146">
        <f t="shared" si="2"/>
        <v>0.89366015663725584</v>
      </c>
      <c r="M32" s="145">
        <f>VLOOKUP($B32,DATOS!$A$1:$N$114,12,FALSE)</f>
        <v>15312700</v>
      </c>
      <c r="N32" s="145">
        <f>VLOOKUP($B32,DATOS!$A$1:$N$114,13,FALSE)</f>
        <v>180287000</v>
      </c>
      <c r="O32" s="146">
        <f t="shared" si="3"/>
        <v>0.89366015663725584</v>
      </c>
      <c r="P32" s="204">
        <f t="shared" si="4"/>
        <v>11</v>
      </c>
      <c r="Q32" s="131"/>
      <c r="R32" s="131"/>
    </row>
    <row r="33" spans="2:18" ht="17.25" customHeight="1" x14ac:dyDescent="0.25">
      <c r="B33" s="163" t="s">
        <v>46</v>
      </c>
      <c r="C33" s="149" t="s">
        <v>149</v>
      </c>
      <c r="D33" s="145">
        <f>VLOOKUP($B33,DATOS!$A$1:$N$114,3,FALSE)</f>
        <v>326179000</v>
      </c>
      <c r="E33" s="150">
        <f>VLOOKUP($B33,DATOS!$A$1:$N$114,4,FALSE)</f>
        <v>0</v>
      </c>
      <c r="F33" s="150">
        <f>VLOOKUP($B33,DATOS!$A$1:$N$114,5,FALSE)</f>
        <v>-20000000</v>
      </c>
      <c r="G33" s="150">
        <f t="shared" si="0"/>
        <v>306179000</v>
      </c>
      <c r="H33" s="145">
        <f>VLOOKUP($B33,DATOS!$A$1:$N$114,7,FALSE)</f>
        <v>0</v>
      </c>
      <c r="I33" s="150">
        <f t="shared" si="1"/>
        <v>306179000</v>
      </c>
      <c r="J33" s="145">
        <f>VLOOKUP($B33,DATOS!$A$1:$N$114,9,FALSE)</f>
        <v>20467100</v>
      </c>
      <c r="K33" s="145">
        <f>VLOOKUP($B33,DATOS!$A$1:$N$114,10,FALSE)</f>
        <v>259857500</v>
      </c>
      <c r="L33" s="151">
        <f t="shared" si="2"/>
        <v>0.84871104811237874</v>
      </c>
      <c r="M33" s="145">
        <f>VLOOKUP($B33,DATOS!$A$1:$N$114,12,FALSE)</f>
        <v>20467100</v>
      </c>
      <c r="N33" s="145">
        <f>VLOOKUP($B33,DATOS!$A$1:$N$114,13,FALSE)</f>
        <v>259857500</v>
      </c>
      <c r="O33" s="151">
        <f t="shared" si="3"/>
        <v>0.84871104811237874</v>
      </c>
      <c r="P33" s="204">
        <f t="shared" si="4"/>
        <v>11</v>
      </c>
      <c r="Q33" s="131"/>
      <c r="R33" s="131"/>
    </row>
    <row r="34" spans="2:18" ht="17.25" customHeight="1" x14ac:dyDescent="0.25">
      <c r="B34" s="163" t="s">
        <v>47</v>
      </c>
      <c r="C34" s="149" t="s">
        <v>150</v>
      </c>
      <c r="D34" s="145">
        <f>VLOOKUP($B34,DATOS!$A$1:$N$114,3,FALSE)</f>
        <v>217453000</v>
      </c>
      <c r="E34" s="150">
        <f>VLOOKUP($B34,DATOS!$A$1:$N$114,4,FALSE)</f>
        <v>0</v>
      </c>
      <c r="F34" s="150">
        <f>VLOOKUP($B34,DATOS!$A$1:$N$114,5,FALSE)</f>
        <v>-15000000</v>
      </c>
      <c r="G34" s="150">
        <f t="shared" si="0"/>
        <v>202453000</v>
      </c>
      <c r="H34" s="145">
        <f>VLOOKUP($B34,DATOS!$A$1:$N$114,7,FALSE)</f>
        <v>0</v>
      </c>
      <c r="I34" s="150">
        <f t="shared" si="1"/>
        <v>202453000</v>
      </c>
      <c r="J34" s="145">
        <f>VLOOKUP($B34,DATOS!$A$1:$N$114,9,FALSE)</f>
        <v>13645600</v>
      </c>
      <c r="K34" s="145">
        <f>VLOOKUP($B34,DATOS!$A$1:$N$114,10,FALSE)</f>
        <v>173248700</v>
      </c>
      <c r="L34" s="151">
        <f t="shared" si="2"/>
        <v>0.85574775379964729</v>
      </c>
      <c r="M34" s="145">
        <f>VLOOKUP($B34,DATOS!$A$1:$N$114,12,FALSE)</f>
        <v>13645600</v>
      </c>
      <c r="N34" s="145">
        <f>VLOOKUP($B34,DATOS!$A$1:$N$114,13,FALSE)</f>
        <v>173248700</v>
      </c>
      <c r="O34" s="151">
        <f t="shared" si="3"/>
        <v>0.85574775379964729</v>
      </c>
      <c r="P34" s="204">
        <f t="shared" si="4"/>
        <v>11</v>
      </c>
      <c r="Q34" s="131"/>
      <c r="R34" s="131"/>
    </row>
    <row r="35" spans="2:18" s="119" customFormat="1" ht="17.25" customHeight="1" x14ac:dyDescent="0.2">
      <c r="B35" s="164" t="s">
        <v>48</v>
      </c>
      <c r="C35" s="152" t="s">
        <v>227</v>
      </c>
      <c r="D35" s="153">
        <f>SUM(D36,D39)</f>
        <v>292481000</v>
      </c>
      <c r="E35" s="153">
        <f>SUM(E36,E39)</f>
        <v>0</v>
      </c>
      <c r="F35" s="153">
        <f>SUM(F36,F39)</f>
        <v>73000000</v>
      </c>
      <c r="G35" s="153">
        <f t="shared" si="0"/>
        <v>365481000</v>
      </c>
      <c r="H35" s="153">
        <f>SUM(H36,H39)</f>
        <v>0</v>
      </c>
      <c r="I35" s="153">
        <f t="shared" si="1"/>
        <v>365481000</v>
      </c>
      <c r="J35" s="153">
        <f>SUM(J36,J39)</f>
        <v>9376143</v>
      </c>
      <c r="K35" s="153">
        <f>SUM(K36,K39)</f>
        <v>234688845</v>
      </c>
      <c r="L35" s="154">
        <f t="shared" si="2"/>
        <v>0.64213692367045072</v>
      </c>
      <c r="M35" s="153">
        <f>SUM(M36,M39)</f>
        <v>9376143</v>
      </c>
      <c r="N35" s="153">
        <f>SUM(N36,N39)</f>
        <v>234688845</v>
      </c>
      <c r="O35" s="154">
        <f t="shared" si="3"/>
        <v>0.64213692367045072</v>
      </c>
      <c r="P35" s="204">
        <f t="shared" si="4"/>
        <v>8</v>
      </c>
      <c r="Q35" s="131"/>
      <c r="R35" s="131"/>
    </row>
    <row r="36" spans="2:18" s="119" customFormat="1" ht="17.25" customHeight="1" x14ac:dyDescent="0.2">
      <c r="B36" s="164" t="s">
        <v>49</v>
      </c>
      <c r="C36" s="138" t="s">
        <v>33</v>
      </c>
      <c r="D36" s="153">
        <f>SUM(D37:D38,D40)</f>
        <v>242481000</v>
      </c>
      <c r="E36" s="153">
        <f>SUM(E37:E38,E40)</f>
        <v>0</v>
      </c>
      <c r="F36" s="153">
        <f>SUM(F37:F38,F40)</f>
        <v>101000000</v>
      </c>
      <c r="G36" s="153">
        <f t="shared" si="0"/>
        <v>343481000</v>
      </c>
      <c r="H36" s="153">
        <f>SUM(H37:H38,H40)</f>
        <v>0</v>
      </c>
      <c r="I36" s="153">
        <f t="shared" si="1"/>
        <v>343481000</v>
      </c>
      <c r="J36" s="153">
        <f>SUM(J37:J38,J40)</f>
        <v>5616768</v>
      </c>
      <c r="K36" s="153">
        <f>SUM(K37:K38,K40)</f>
        <v>217270456</v>
      </c>
      <c r="L36" s="154">
        <f t="shared" si="2"/>
        <v>0.63255451102098803</v>
      </c>
      <c r="M36" s="153">
        <f>SUM(M37:M38,M40)</f>
        <v>5616768</v>
      </c>
      <c r="N36" s="153">
        <f>SUM(N37:N38,N40)</f>
        <v>217270456</v>
      </c>
      <c r="O36" s="154">
        <f t="shared" si="3"/>
        <v>0.63255451102098803</v>
      </c>
      <c r="P36" s="204">
        <f t="shared" si="4"/>
        <v>11</v>
      </c>
      <c r="Q36" s="131"/>
      <c r="R36" s="131"/>
    </row>
    <row r="37" spans="2:18" ht="17.25" customHeight="1" x14ac:dyDescent="0.2">
      <c r="B37" s="163" t="s">
        <v>50</v>
      </c>
      <c r="C37" s="149" t="s">
        <v>152</v>
      </c>
      <c r="D37" s="145">
        <f>VLOOKUP($B37,DATOS!$A$1:$N$114,3,FALSE)</f>
        <v>100000000</v>
      </c>
      <c r="E37" s="145">
        <f>VLOOKUP($B37,DATOS!$A$1:$N$114,4,FALSE)</f>
        <v>0</v>
      </c>
      <c r="F37" s="145">
        <f>VLOOKUP($B37,DATOS!$A$1:$N$114,5,FALSE)</f>
        <v>190000000</v>
      </c>
      <c r="G37" s="145">
        <f t="shared" si="0"/>
        <v>290000000</v>
      </c>
      <c r="H37" s="145">
        <f>VLOOKUP($B37,DATOS!$A$1:$N$114,7,FALSE)</f>
        <v>0</v>
      </c>
      <c r="I37" s="145">
        <f t="shared" si="1"/>
        <v>290000000</v>
      </c>
      <c r="J37" s="145">
        <f>VLOOKUP($B37,DATOS!$A$1:$N$114,9,FALSE)</f>
        <v>0</v>
      </c>
      <c r="K37" s="145">
        <f>VLOOKUP($B37,DATOS!$A$1:$N$114,10,FALSE)</f>
        <v>170761611</v>
      </c>
      <c r="L37" s="146">
        <f t="shared" si="2"/>
        <v>0.58883314137931031</v>
      </c>
      <c r="M37" s="145">
        <f>VLOOKUP($B37,DATOS!$A$1:$N$114,12,FALSE)</f>
        <v>0</v>
      </c>
      <c r="N37" s="145">
        <f>VLOOKUP($B37,DATOS!$A$1:$N$114,13,FALSE)</f>
        <v>170761611</v>
      </c>
      <c r="O37" s="146">
        <f t="shared" si="3"/>
        <v>0.58883314137931031</v>
      </c>
      <c r="P37" s="204">
        <f t="shared" si="4"/>
        <v>13</v>
      </c>
      <c r="Q37" s="131"/>
      <c r="R37" s="131"/>
    </row>
    <row r="38" spans="2:18" ht="17.25" customHeight="1" x14ac:dyDescent="0.2">
      <c r="B38" s="163" t="s">
        <v>51</v>
      </c>
      <c r="C38" s="144" t="s">
        <v>153</v>
      </c>
      <c r="D38" s="145">
        <f>VLOOKUP($B38,DATOS!$A$1:$N$114,3,FALSE)</f>
        <v>42481000</v>
      </c>
      <c r="E38" s="145">
        <f>VLOOKUP($B38,DATOS!$A$1:$N$114,4,FALSE)</f>
        <v>0</v>
      </c>
      <c r="F38" s="145">
        <f>VLOOKUP($B38,DATOS!$A$1:$N$114,5,FALSE)</f>
        <v>1000000</v>
      </c>
      <c r="G38" s="145">
        <f t="shared" si="0"/>
        <v>43481000</v>
      </c>
      <c r="H38" s="145">
        <f>VLOOKUP($B38,DATOS!$A$1:$N$114,7,FALSE)</f>
        <v>0</v>
      </c>
      <c r="I38" s="145">
        <f t="shared" si="1"/>
        <v>43481000</v>
      </c>
      <c r="J38" s="145">
        <f>VLOOKUP($B38,DATOS!$A$1:$N$114,9,FALSE)</f>
        <v>4193268</v>
      </c>
      <c r="K38" s="145">
        <f>VLOOKUP($B38,DATOS!$A$1:$N$114,10,FALSE)</f>
        <v>41194445</v>
      </c>
      <c r="L38" s="146">
        <f t="shared" si="2"/>
        <v>0.94741254800947539</v>
      </c>
      <c r="M38" s="145">
        <f>VLOOKUP($B38,DATOS!$A$1:$N$114,12,FALSE)</f>
        <v>4193268</v>
      </c>
      <c r="N38" s="145">
        <f>VLOOKUP($B38,DATOS!$A$1:$N$114,13,FALSE)</f>
        <v>41194445</v>
      </c>
      <c r="O38" s="146">
        <f t="shared" si="3"/>
        <v>0.94741254800947539</v>
      </c>
      <c r="P38" s="204">
        <f t="shared" si="4"/>
        <v>13</v>
      </c>
      <c r="Q38" s="131"/>
      <c r="R38" s="131"/>
    </row>
    <row r="39" spans="2:18" ht="17.25" customHeight="1" x14ac:dyDescent="0.25">
      <c r="B39" s="163" t="s">
        <v>96</v>
      </c>
      <c r="C39" s="149" t="s">
        <v>154</v>
      </c>
      <c r="D39" s="145">
        <f>VLOOKUP($B39,DATOS!$A$1:$N$114,3,FALSE)</f>
        <v>50000000</v>
      </c>
      <c r="E39" s="150">
        <f>VLOOKUP($B39,DATOS!$A$1:$N$114,4,FALSE)</f>
        <v>0</v>
      </c>
      <c r="F39" s="150">
        <f>VLOOKUP($B39,DATOS!$A$1:$N$114,5,FALSE)</f>
        <v>-28000000</v>
      </c>
      <c r="G39" s="150">
        <f t="shared" si="0"/>
        <v>22000000</v>
      </c>
      <c r="H39" s="145">
        <f>VLOOKUP($B39,DATOS!$A$1:$N$114,7,FALSE)</f>
        <v>0</v>
      </c>
      <c r="I39" s="150">
        <f t="shared" si="1"/>
        <v>22000000</v>
      </c>
      <c r="J39" s="145">
        <f>VLOOKUP($B39,DATOS!$A$1:$N$114,9,FALSE)</f>
        <v>3759375</v>
      </c>
      <c r="K39" s="145">
        <f>VLOOKUP($B39,DATOS!$A$1:$N$114,10,FALSE)</f>
        <v>17418389</v>
      </c>
      <c r="L39" s="151">
        <f t="shared" si="2"/>
        <v>0.79174495454545457</v>
      </c>
      <c r="M39" s="145">
        <f>VLOOKUP($B39,DATOS!$A$1:$N$114,12,FALSE)</f>
        <v>3759375</v>
      </c>
      <c r="N39" s="145">
        <f>VLOOKUP($B39,DATOS!$A$1:$N$114,13,FALSE)</f>
        <v>17418389</v>
      </c>
      <c r="O39" s="151">
        <f t="shared" si="3"/>
        <v>0.79174495454545457</v>
      </c>
      <c r="P39" s="204">
        <f t="shared" si="4"/>
        <v>11</v>
      </c>
      <c r="Q39" s="131"/>
      <c r="R39" s="131"/>
    </row>
    <row r="40" spans="2:18" ht="17.25" customHeight="1" x14ac:dyDescent="0.25">
      <c r="B40" s="163" t="s">
        <v>132</v>
      </c>
      <c r="C40" s="149" t="s">
        <v>155</v>
      </c>
      <c r="D40" s="145">
        <f>VLOOKUP($B40,DATOS!$A$1:$N$114,3,FALSE)</f>
        <v>100000000</v>
      </c>
      <c r="E40" s="150">
        <f>VLOOKUP($B40,DATOS!$A$1:$N$114,4,FALSE)</f>
        <v>0</v>
      </c>
      <c r="F40" s="150">
        <f>VLOOKUP($B40,DATOS!$A$1:$N$114,5,FALSE)</f>
        <v>-90000000</v>
      </c>
      <c r="G40" s="150">
        <f t="shared" si="0"/>
        <v>10000000</v>
      </c>
      <c r="H40" s="145">
        <f>VLOOKUP($B40,DATOS!$A$1:$N$114,7,FALSE)</f>
        <v>0</v>
      </c>
      <c r="I40" s="150">
        <f t="shared" si="1"/>
        <v>10000000</v>
      </c>
      <c r="J40" s="145">
        <f>VLOOKUP($B40,DATOS!$A$1:$N$114,9,FALSE)</f>
        <v>1423500</v>
      </c>
      <c r="K40" s="145">
        <f>VLOOKUP($B40,DATOS!$A$1:$N$114,10,FALSE)</f>
        <v>5314400</v>
      </c>
      <c r="L40" s="151">
        <f t="shared" si="2"/>
        <v>0.53144000000000002</v>
      </c>
      <c r="M40" s="145">
        <f>VLOOKUP($B40,DATOS!$A$1:$N$114,12,FALSE)</f>
        <v>1423500</v>
      </c>
      <c r="N40" s="145">
        <f>VLOOKUP($B40,DATOS!$A$1:$N$114,13,FALSE)</f>
        <v>5314400</v>
      </c>
      <c r="O40" s="151">
        <f t="shared" si="3"/>
        <v>0.53144000000000002</v>
      </c>
      <c r="P40" s="204">
        <f t="shared" si="4"/>
        <v>11</v>
      </c>
      <c r="Q40" s="131"/>
      <c r="R40" s="131"/>
    </row>
    <row r="41" spans="2:18" s="119" customFormat="1" ht="17.25" customHeight="1" x14ac:dyDescent="0.25">
      <c r="B41" s="172" t="s">
        <v>52</v>
      </c>
      <c r="C41" s="141" t="s">
        <v>101</v>
      </c>
      <c r="D41" s="155">
        <f>+D42</f>
        <v>25601600000</v>
      </c>
      <c r="E41" s="155">
        <f>+E42</f>
        <v>0</v>
      </c>
      <c r="F41" s="155">
        <f>+F42</f>
        <v>490142098</v>
      </c>
      <c r="G41" s="155">
        <f t="shared" si="0"/>
        <v>26091742098</v>
      </c>
      <c r="H41" s="155">
        <f>+H42</f>
        <v>0</v>
      </c>
      <c r="I41" s="155">
        <f t="shared" si="1"/>
        <v>26091742098</v>
      </c>
      <c r="J41" s="155">
        <f>+J42</f>
        <v>2020361255</v>
      </c>
      <c r="K41" s="155">
        <f>+K42</f>
        <v>20056214218</v>
      </c>
      <c r="L41" s="156">
        <f t="shared" si="2"/>
        <v>0.76868053281644855</v>
      </c>
      <c r="M41" s="155">
        <f>+M42</f>
        <v>1817205251</v>
      </c>
      <c r="N41" s="155">
        <f>+N42</f>
        <v>14546491377</v>
      </c>
      <c r="O41" s="156">
        <f t="shared" si="3"/>
        <v>0.55751322860557584</v>
      </c>
      <c r="P41" s="204">
        <f t="shared" si="4"/>
        <v>4</v>
      </c>
      <c r="Q41" s="131"/>
      <c r="R41" s="131"/>
    </row>
    <row r="42" spans="2:18" s="119" customFormat="1" ht="17.25" customHeight="1" x14ac:dyDescent="0.2">
      <c r="B42" s="164" t="s">
        <v>53</v>
      </c>
      <c r="C42" s="157" t="s">
        <v>102</v>
      </c>
      <c r="D42" s="153">
        <f>+D43+D47</f>
        <v>25601600000</v>
      </c>
      <c r="E42" s="153">
        <f>+E43+E47</f>
        <v>0</v>
      </c>
      <c r="F42" s="153">
        <f>+F43+F47</f>
        <v>490142098</v>
      </c>
      <c r="G42" s="153">
        <f t="shared" si="0"/>
        <v>26091742098</v>
      </c>
      <c r="H42" s="153">
        <f>+H43+H47</f>
        <v>0</v>
      </c>
      <c r="I42" s="153">
        <f t="shared" si="1"/>
        <v>26091742098</v>
      </c>
      <c r="J42" s="153">
        <f>+J43+J47</f>
        <v>2020361255</v>
      </c>
      <c r="K42" s="153">
        <f>+K43+K47</f>
        <v>20056214218</v>
      </c>
      <c r="L42" s="154">
        <f t="shared" si="2"/>
        <v>0.76868053281644855</v>
      </c>
      <c r="M42" s="153">
        <f>+M43+M47</f>
        <v>1817205251</v>
      </c>
      <c r="N42" s="153">
        <f>+N43+N47</f>
        <v>14546491377</v>
      </c>
      <c r="O42" s="154">
        <f t="shared" si="3"/>
        <v>0.55751322860557584</v>
      </c>
      <c r="P42" s="204">
        <f t="shared" si="4"/>
        <v>6</v>
      </c>
      <c r="Q42" s="131"/>
      <c r="R42" s="131"/>
    </row>
    <row r="43" spans="2:18" s="119" customFormat="1" ht="17.25" customHeight="1" x14ac:dyDescent="0.2">
      <c r="B43" s="164" t="s">
        <v>54</v>
      </c>
      <c r="C43" s="157" t="s">
        <v>55</v>
      </c>
      <c r="D43" s="153">
        <f>SUM(D44:D46)</f>
        <v>2011206000</v>
      </c>
      <c r="E43" s="153">
        <f>SUM(E44:E46)</f>
        <v>0</v>
      </c>
      <c r="F43" s="153">
        <f>SUM(F44:F46)</f>
        <v>-1038567049</v>
      </c>
      <c r="G43" s="153">
        <f t="shared" si="0"/>
        <v>972638951</v>
      </c>
      <c r="H43" s="153">
        <f>SUM(H44:H46)</f>
        <v>0</v>
      </c>
      <c r="I43" s="153">
        <f t="shared" si="1"/>
        <v>972638951</v>
      </c>
      <c r="J43" s="153">
        <f>SUM(J44:J46)</f>
        <v>100000</v>
      </c>
      <c r="K43" s="153">
        <f>SUM(K44:K46)</f>
        <v>577589293</v>
      </c>
      <c r="L43" s="154">
        <f t="shared" si="2"/>
        <v>0.5938373045888844</v>
      </c>
      <c r="M43" s="153">
        <f>SUM(M44:M46)</f>
        <v>12486930</v>
      </c>
      <c r="N43" s="153">
        <f>SUM(N44:N46)</f>
        <v>547906811</v>
      </c>
      <c r="O43" s="154">
        <f t="shared" si="3"/>
        <v>0.56331983254082119</v>
      </c>
      <c r="P43" s="204">
        <f t="shared" si="4"/>
        <v>8</v>
      </c>
      <c r="Q43" s="131"/>
      <c r="R43" s="131"/>
    </row>
    <row r="44" spans="2:18" ht="17.25" customHeight="1" x14ac:dyDescent="0.25">
      <c r="B44" s="163" t="s">
        <v>56</v>
      </c>
      <c r="C44" s="149" t="s">
        <v>228</v>
      </c>
      <c r="D44" s="145">
        <f>VLOOKUP($B44,DATOS!$A$1:$N$114,3,FALSE)</f>
        <v>32317000</v>
      </c>
      <c r="E44" s="150">
        <f>VLOOKUP($B44,DATOS!$A$1:$N$114,4,FALSE)</f>
        <v>0</v>
      </c>
      <c r="F44" s="150">
        <f>VLOOKUP($B44,DATOS!$A$1:$N$114,5,FALSE)</f>
        <v>-4019663</v>
      </c>
      <c r="G44" s="150">
        <f t="shared" si="0"/>
        <v>28297337</v>
      </c>
      <c r="H44" s="145">
        <f>VLOOKUP($B44,DATOS!$A$1:$N$114,7,FALSE)</f>
        <v>0</v>
      </c>
      <c r="I44" s="150">
        <f t="shared" si="1"/>
        <v>28297337</v>
      </c>
      <c r="J44" s="145">
        <f>VLOOKUP($B44,DATOS!$A$1:$N$114,9,FALSE)</f>
        <v>0</v>
      </c>
      <c r="K44" s="145">
        <f>VLOOKUP($B44,DATOS!$A$1:$N$114,10,FALSE)</f>
        <v>16408525</v>
      </c>
      <c r="L44" s="151">
        <f t="shared" si="2"/>
        <v>0.57986110141742309</v>
      </c>
      <c r="M44" s="145">
        <f>VLOOKUP($B44,DATOS!$A$1:$N$114,12,FALSE)</f>
        <v>0</v>
      </c>
      <c r="N44" s="145">
        <f>VLOOKUP($B44,DATOS!$A$1:$N$114,13,FALSE)</f>
        <v>13704250</v>
      </c>
      <c r="O44" s="151">
        <f t="shared" si="3"/>
        <v>0.48429468822454919</v>
      </c>
      <c r="P44" s="204">
        <f t="shared" si="4"/>
        <v>11</v>
      </c>
      <c r="Q44" s="131"/>
      <c r="R44" s="131"/>
    </row>
    <row r="45" spans="2:18" ht="17.25" customHeight="1" x14ac:dyDescent="0.2">
      <c r="B45" s="163" t="s">
        <v>57</v>
      </c>
      <c r="C45" s="144" t="s">
        <v>229</v>
      </c>
      <c r="D45" s="145">
        <f>VLOOKUP($B45,DATOS!$A$1:$N$114,3,FALSE)</f>
        <v>480224000</v>
      </c>
      <c r="E45" s="145">
        <f>VLOOKUP($B45,DATOS!$A$1:$N$114,4,FALSE)</f>
        <v>0</v>
      </c>
      <c r="F45" s="145">
        <f>VLOOKUP($B45,DATOS!$A$1:$N$114,5,FALSE)</f>
        <v>13689069</v>
      </c>
      <c r="G45" s="145">
        <f t="shared" si="0"/>
        <v>493913069</v>
      </c>
      <c r="H45" s="145">
        <f>VLOOKUP($B45,DATOS!$A$1:$N$114,7,FALSE)</f>
        <v>0</v>
      </c>
      <c r="I45" s="145">
        <f t="shared" si="1"/>
        <v>493913069</v>
      </c>
      <c r="J45" s="145">
        <f>VLOOKUP($B45,DATOS!$A$1:$N$114,9,FALSE)</f>
        <v>100000</v>
      </c>
      <c r="K45" s="145">
        <f>VLOOKUP($B45,DATOS!$A$1:$N$114,10,FALSE)</f>
        <v>117122403</v>
      </c>
      <c r="L45" s="146">
        <f t="shared" si="2"/>
        <v>0.23713161353906187</v>
      </c>
      <c r="M45" s="145">
        <f>VLOOKUP($B45,DATOS!$A$1:$N$114,12,FALSE)</f>
        <v>12486930</v>
      </c>
      <c r="N45" s="145">
        <f>VLOOKUP($B45,DATOS!$A$1:$N$114,13,FALSE)</f>
        <v>93374941</v>
      </c>
      <c r="O45" s="146">
        <f t="shared" si="3"/>
        <v>0.18905136725588445</v>
      </c>
      <c r="P45" s="204">
        <f t="shared" si="4"/>
        <v>11</v>
      </c>
      <c r="Q45" s="131"/>
      <c r="R45" s="131"/>
    </row>
    <row r="46" spans="2:18" ht="17.25" customHeight="1" x14ac:dyDescent="0.2">
      <c r="B46" s="163" t="s">
        <v>199</v>
      </c>
      <c r="C46" s="144" t="s">
        <v>200</v>
      </c>
      <c r="D46" s="145">
        <f>VLOOKUP($B46,DATOS!$A$1:$N$114,3,FALSE)</f>
        <v>1498665000</v>
      </c>
      <c r="E46" s="145">
        <f>VLOOKUP($B46,DATOS!$A$1:$N$114,4,FALSE)</f>
        <v>0</v>
      </c>
      <c r="F46" s="145">
        <f>VLOOKUP($B46,DATOS!$A$1:$N$114,5,FALSE)</f>
        <v>-1048236455</v>
      </c>
      <c r="G46" s="145">
        <f t="shared" si="0"/>
        <v>450428545</v>
      </c>
      <c r="H46" s="145">
        <f>VLOOKUP($B46,DATOS!$A$1:$N$114,7,FALSE)</f>
        <v>0</v>
      </c>
      <c r="I46" s="145">
        <f t="shared" si="1"/>
        <v>450428545</v>
      </c>
      <c r="J46" s="145">
        <f>VLOOKUP($B46,DATOS!$A$1:$N$114,9,FALSE)</f>
        <v>0</v>
      </c>
      <c r="K46" s="145">
        <f>VLOOKUP($B46,DATOS!$A$1:$N$114,10,FALSE)</f>
        <v>444058365</v>
      </c>
      <c r="L46" s="146">
        <f t="shared" si="2"/>
        <v>0.98585751264942589</v>
      </c>
      <c r="M46" s="145">
        <f>VLOOKUP($B46,DATOS!$A$1:$N$114,12,FALSE)</f>
        <v>0</v>
      </c>
      <c r="N46" s="145">
        <f>VLOOKUP($B46,DATOS!$A$1:$N$114,13,FALSE)</f>
        <v>440827620</v>
      </c>
      <c r="O46" s="146">
        <f t="shared" si="3"/>
        <v>0.97868490994503909</v>
      </c>
      <c r="P46" s="204">
        <f t="shared" si="4"/>
        <v>11</v>
      </c>
      <c r="Q46" s="131"/>
      <c r="R46" s="131"/>
    </row>
    <row r="47" spans="2:18" s="119" customFormat="1" ht="17.25" customHeight="1" x14ac:dyDescent="0.25">
      <c r="B47" s="164" t="s">
        <v>60</v>
      </c>
      <c r="C47" s="138" t="s">
        <v>61</v>
      </c>
      <c r="D47" s="147">
        <f>SUM(D48:D52)</f>
        <v>23590394000</v>
      </c>
      <c r="E47" s="147">
        <f>SUM(E48:E52)</f>
        <v>0</v>
      </c>
      <c r="F47" s="147">
        <f>SUM(F48:F52)</f>
        <v>1528709147</v>
      </c>
      <c r="G47" s="147">
        <f t="shared" si="0"/>
        <v>25119103147</v>
      </c>
      <c r="H47" s="147">
        <f>SUM(H48:H52)</f>
        <v>0</v>
      </c>
      <c r="I47" s="147">
        <f t="shared" si="1"/>
        <v>25119103147</v>
      </c>
      <c r="J47" s="147">
        <f>SUM(J48:J52)</f>
        <v>2020261255</v>
      </c>
      <c r="K47" s="147">
        <f>SUM(K48:K52)</f>
        <v>19478624925</v>
      </c>
      <c r="L47" s="148">
        <f t="shared" si="2"/>
        <v>0.77545065247786726</v>
      </c>
      <c r="M47" s="147">
        <f>SUM(M48:M52)</f>
        <v>1804718321</v>
      </c>
      <c r="N47" s="147">
        <f>SUM(N48:N52)</f>
        <v>13998584566</v>
      </c>
      <c r="O47" s="148">
        <f t="shared" si="3"/>
        <v>0.55728839059573931</v>
      </c>
      <c r="P47" s="204">
        <f t="shared" si="4"/>
        <v>8</v>
      </c>
      <c r="Q47" s="131"/>
      <c r="R47" s="131"/>
    </row>
    <row r="48" spans="2:18" ht="17.25" customHeight="1" x14ac:dyDescent="0.25">
      <c r="B48" s="163" t="s">
        <v>62</v>
      </c>
      <c r="C48" s="149" t="s">
        <v>230</v>
      </c>
      <c r="D48" s="145">
        <f>VLOOKUP($B48,DATOS!$A$1:$N$114,3,FALSE)</f>
        <v>394780000</v>
      </c>
      <c r="E48" s="150">
        <f>VLOOKUP($B48,DATOS!$A$1:$N$114,4,FALSE)</f>
        <v>0</v>
      </c>
      <c r="F48" s="150">
        <f>VLOOKUP($B48,DATOS!$A$1:$N$114,5,FALSE)</f>
        <v>-275995119</v>
      </c>
      <c r="G48" s="150">
        <f t="shared" si="0"/>
        <v>118784881</v>
      </c>
      <c r="H48" s="145">
        <f>VLOOKUP($B48,DATOS!$A$1:$N$114,7,FALSE)</f>
        <v>0</v>
      </c>
      <c r="I48" s="150">
        <f t="shared" si="1"/>
        <v>118784881</v>
      </c>
      <c r="J48" s="145">
        <f>VLOOKUP($B48,DATOS!$A$1:$N$114,9,FALSE)</f>
        <v>2254013</v>
      </c>
      <c r="K48" s="145">
        <f>VLOOKUP($B48,DATOS!$A$1:$N$114,10,FALSE)</f>
        <v>47318092</v>
      </c>
      <c r="L48" s="151">
        <f t="shared" si="2"/>
        <v>0.39835113359249819</v>
      </c>
      <c r="M48" s="145">
        <f>VLOOKUP($B48,DATOS!$A$1:$N$114,12,FALSE)</f>
        <v>2254013</v>
      </c>
      <c r="N48" s="145">
        <f>VLOOKUP($B48,DATOS!$A$1:$N$114,13,FALSE)</f>
        <v>44249092</v>
      </c>
      <c r="O48" s="151">
        <f t="shared" si="3"/>
        <v>0.37251451217937409</v>
      </c>
      <c r="P48" s="204">
        <f t="shared" si="4"/>
        <v>11</v>
      </c>
      <c r="Q48" s="131"/>
      <c r="R48" s="131"/>
    </row>
    <row r="49" spans="1:18" ht="17.25" customHeight="1" x14ac:dyDescent="0.25">
      <c r="B49" s="163" t="s">
        <v>65</v>
      </c>
      <c r="C49" s="149" t="s">
        <v>231</v>
      </c>
      <c r="D49" s="145">
        <f>VLOOKUP($B49,DATOS!$A$1:$N$114,3,FALSE)</f>
        <v>5463686000</v>
      </c>
      <c r="E49" s="150">
        <f>VLOOKUP($B49,DATOS!$A$1:$N$114,4,FALSE)</f>
        <v>0</v>
      </c>
      <c r="F49" s="150">
        <f>VLOOKUP($B49,DATOS!$A$1:$N$114,5,FALSE)</f>
        <v>2148040714</v>
      </c>
      <c r="G49" s="150">
        <f t="shared" si="0"/>
        <v>7611726714</v>
      </c>
      <c r="H49" s="145">
        <f>VLOOKUP($B49,DATOS!$A$1:$N$114,7,FALSE)</f>
        <v>0</v>
      </c>
      <c r="I49" s="150">
        <f t="shared" si="1"/>
        <v>7611726714</v>
      </c>
      <c r="J49" s="145">
        <f>VLOOKUP($B49,DATOS!$A$1:$N$114,9,FALSE)</f>
        <v>-5</v>
      </c>
      <c r="K49" s="145">
        <f>VLOOKUP($B49,DATOS!$A$1:$N$114,10,FALSE)</f>
        <v>5242190991</v>
      </c>
      <c r="L49" s="151">
        <f t="shared" si="2"/>
        <v>0.68869931724666489</v>
      </c>
      <c r="M49" s="145">
        <f>VLOOKUP($B49,DATOS!$A$1:$N$114,12,FALSE)</f>
        <v>458983466</v>
      </c>
      <c r="N49" s="145">
        <f>VLOOKUP($B49,DATOS!$A$1:$N$114,13,FALSE)</f>
        <v>4732308774</v>
      </c>
      <c r="O49" s="151">
        <f t="shared" si="3"/>
        <v>0.62171291111857963</v>
      </c>
      <c r="P49" s="204">
        <f t="shared" si="4"/>
        <v>11</v>
      </c>
      <c r="Q49" s="131"/>
      <c r="R49" s="131"/>
    </row>
    <row r="50" spans="1:18" ht="17.25" customHeight="1" x14ac:dyDescent="0.2">
      <c r="B50" s="163" t="s">
        <v>68</v>
      </c>
      <c r="C50" s="144" t="s">
        <v>232</v>
      </c>
      <c r="D50" s="145">
        <f>VLOOKUP($B50,DATOS!$A$1:$N$114,3,FALSE)</f>
        <v>16118213000</v>
      </c>
      <c r="E50" s="145">
        <f>VLOOKUP($B50,DATOS!$A$1:$N$114,4,FALSE)</f>
        <v>0</v>
      </c>
      <c r="F50" s="145">
        <f>VLOOKUP($B50,DATOS!$A$1:$N$114,5,FALSE)</f>
        <v>-497376219</v>
      </c>
      <c r="G50" s="145">
        <f t="shared" si="0"/>
        <v>15620836781</v>
      </c>
      <c r="H50" s="145">
        <f>VLOOKUP($B50,DATOS!$A$1:$N$114,7,FALSE)</f>
        <v>0</v>
      </c>
      <c r="I50" s="145">
        <f t="shared" si="1"/>
        <v>15620836781</v>
      </c>
      <c r="J50" s="145">
        <f>VLOOKUP($B50,DATOS!$A$1:$N$114,9,FALSE)</f>
        <v>1957075960</v>
      </c>
      <c r="K50" s="145">
        <f>VLOOKUP($B50,DATOS!$A$1:$N$114,10,FALSE)</f>
        <v>12979007214</v>
      </c>
      <c r="L50" s="146">
        <f t="shared" si="2"/>
        <v>0.83087784578779278</v>
      </c>
      <c r="M50" s="145">
        <f>VLOOKUP($B50,DATOS!$A$1:$N$114,12,FALSE)</f>
        <v>1198008184</v>
      </c>
      <c r="N50" s="145">
        <f>VLOOKUP($B50,DATOS!$A$1:$N$114,13,FALSE)</f>
        <v>8485172498</v>
      </c>
      <c r="O50" s="146">
        <f t="shared" si="3"/>
        <v>0.54319577222141646</v>
      </c>
      <c r="P50" s="204">
        <f t="shared" si="4"/>
        <v>11</v>
      </c>
      <c r="Q50" s="131"/>
      <c r="R50" s="131"/>
    </row>
    <row r="51" spans="1:18" ht="17.25" customHeight="1" x14ac:dyDescent="0.2">
      <c r="B51" s="163" t="s">
        <v>71</v>
      </c>
      <c r="C51" s="144" t="s">
        <v>193</v>
      </c>
      <c r="D51" s="145">
        <f>VLOOKUP($B51,DATOS!$A$1:$N$114,3,FALSE)</f>
        <v>1467412000</v>
      </c>
      <c r="E51" s="145">
        <f>VLOOKUP($B51,DATOS!$A$1:$N$114,4,FALSE)</f>
        <v>0</v>
      </c>
      <c r="F51" s="145">
        <f>VLOOKUP($B51,DATOS!$A$1:$N$114,5,FALSE)</f>
        <v>114058442</v>
      </c>
      <c r="G51" s="145">
        <f t="shared" si="0"/>
        <v>1581470442</v>
      </c>
      <c r="H51" s="145">
        <f>VLOOKUP($B51,DATOS!$A$1:$N$114,7,FALSE)</f>
        <v>0</v>
      </c>
      <c r="I51" s="145">
        <f t="shared" si="1"/>
        <v>1581470442</v>
      </c>
      <c r="J51" s="145">
        <f>VLOOKUP($B51,DATOS!$A$1:$N$114,9,FALSE)</f>
        <v>67735900</v>
      </c>
      <c r="K51" s="145">
        <f>VLOOKUP($B51,DATOS!$A$1:$N$114,10,FALSE)</f>
        <v>1118541176</v>
      </c>
      <c r="L51" s="146">
        <f t="shared" si="2"/>
        <v>0.70727921704653651</v>
      </c>
      <c r="M51" s="145">
        <f>VLOOKUP($B51,DATOS!$A$1:$N$114,12,FALSE)</f>
        <v>145472658</v>
      </c>
      <c r="N51" s="145">
        <f>VLOOKUP($B51,DATOS!$A$1:$N$114,13,FALSE)</f>
        <v>673977596</v>
      </c>
      <c r="O51" s="146">
        <f t="shared" si="3"/>
        <v>0.4261714782020567</v>
      </c>
      <c r="P51" s="204">
        <f t="shared" si="4"/>
        <v>11</v>
      </c>
      <c r="Q51" s="131"/>
      <c r="R51" s="131"/>
    </row>
    <row r="52" spans="1:18" ht="17.25" customHeight="1" x14ac:dyDescent="0.25">
      <c r="A52" s="86" t="s">
        <v>238</v>
      </c>
      <c r="B52" s="163" t="s">
        <v>131</v>
      </c>
      <c r="C52" s="149" t="s">
        <v>173</v>
      </c>
      <c r="D52" s="145">
        <f>VLOOKUP($B52,DATOS!$A$1:$N$114,3,FALSE)</f>
        <v>146303000</v>
      </c>
      <c r="E52" s="145">
        <f>VLOOKUP($B52,DATOS!$A$1:$N$114,4,FALSE)</f>
        <v>0</v>
      </c>
      <c r="F52" s="145">
        <f>VLOOKUP($B52,DATOS!$A$1:$N$114,5,FALSE)</f>
        <v>39981329</v>
      </c>
      <c r="G52" s="150">
        <f t="shared" ref="G52" si="5">+D52+F52</f>
        <v>186284329</v>
      </c>
      <c r="H52" s="145">
        <f>VLOOKUP($B52,DATOS!$A$1:$N$114,7,FALSE)</f>
        <v>0</v>
      </c>
      <c r="I52" s="150">
        <f t="shared" ref="I52" si="6">+G52-H52</f>
        <v>186284329</v>
      </c>
      <c r="J52" s="145">
        <f>VLOOKUP($B52,DATOS!$A$1:$N$114,9,FALSE)</f>
        <v>-6804613</v>
      </c>
      <c r="K52" s="145">
        <f>VLOOKUP($B52,DATOS!$A$1:$N$114,10,FALSE)</f>
        <v>91567452</v>
      </c>
      <c r="L52" s="151">
        <f t="shared" ref="L52" si="7">IFERROR(K52/I52,0)</f>
        <v>0.49154672586549136</v>
      </c>
      <c r="M52" s="145">
        <f>VLOOKUP($B52,DATOS!$A$1:$N$114,12,FALSE)</f>
        <v>0</v>
      </c>
      <c r="N52" s="145">
        <f>VLOOKUP($B52,DATOS!$A$1:$N$114,13,FALSE)</f>
        <v>62876606</v>
      </c>
      <c r="O52" s="151">
        <f t="shared" ref="O52" si="8">IFERROR(N52/I52,0)</f>
        <v>0.33753030293815001</v>
      </c>
      <c r="P52" s="204">
        <f t="shared" si="4"/>
        <v>11</v>
      </c>
      <c r="Q52" s="131"/>
      <c r="R52" s="131"/>
    </row>
    <row r="53" spans="1:18" s="119" customFormat="1" ht="17.25" customHeight="1" x14ac:dyDescent="0.25">
      <c r="B53" s="172" t="s">
        <v>74</v>
      </c>
      <c r="C53" s="141" t="s">
        <v>75</v>
      </c>
      <c r="D53" s="155">
        <f>+D54</f>
        <v>1800000000</v>
      </c>
      <c r="E53" s="155">
        <f t="shared" ref="E53:F55" si="9">+E54</f>
        <v>0</v>
      </c>
      <c r="F53" s="155">
        <f t="shared" si="9"/>
        <v>-471206471</v>
      </c>
      <c r="G53" s="155">
        <f t="shared" si="0"/>
        <v>1328793529</v>
      </c>
      <c r="H53" s="155">
        <f>+H54</f>
        <v>0</v>
      </c>
      <c r="I53" s="155">
        <f t="shared" si="1"/>
        <v>1328793529</v>
      </c>
      <c r="J53" s="155">
        <f t="shared" ref="J53:K55" si="10">+J54</f>
        <v>4527273</v>
      </c>
      <c r="K53" s="155">
        <f t="shared" si="10"/>
        <v>4527273</v>
      </c>
      <c r="L53" s="156">
        <f t="shared" si="2"/>
        <v>3.4070552732199527E-3</v>
      </c>
      <c r="M53" s="155">
        <f t="shared" ref="M53:N55" si="11">+M54</f>
        <v>4527273</v>
      </c>
      <c r="N53" s="155">
        <f t="shared" si="11"/>
        <v>4527273</v>
      </c>
      <c r="O53" s="156">
        <f t="shared" si="3"/>
        <v>3.4070552732199527E-3</v>
      </c>
      <c r="P53" s="204">
        <f t="shared" si="4"/>
        <v>4</v>
      </c>
      <c r="Q53" s="131"/>
      <c r="R53" s="131"/>
    </row>
    <row r="54" spans="1:18" s="119" customFormat="1" ht="17.25" customHeight="1" x14ac:dyDescent="0.25">
      <c r="B54" s="164" t="s">
        <v>76</v>
      </c>
      <c r="C54" s="138" t="s">
        <v>77</v>
      </c>
      <c r="D54" s="147">
        <f>+D55</f>
        <v>1800000000</v>
      </c>
      <c r="E54" s="147">
        <f t="shared" si="9"/>
        <v>0</v>
      </c>
      <c r="F54" s="147">
        <f t="shared" si="9"/>
        <v>-471206471</v>
      </c>
      <c r="G54" s="147">
        <f t="shared" si="0"/>
        <v>1328793529</v>
      </c>
      <c r="H54" s="147">
        <f>+H55</f>
        <v>0</v>
      </c>
      <c r="I54" s="147">
        <f t="shared" si="1"/>
        <v>1328793529</v>
      </c>
      <c r="J54" s="147">
        <f t="shared" si="10"/>
        <v>4527273</v>
      </c>
      <c r="K54" s="147">
        <f t="shared" si="10"/>
        <v>4527273</v>
      </c>
      <c r="L54" s="148">
        <f t="shared" si="2"/>
        <v>3.4070552732199527E-3</v>
      </c>
      <c r="M54" s="147">
        <f t="shared" si="11"/>
        <v>4527273</v>
      </c>
      <c r="N54" s="147">
        <f t="shared" si="11"/>
        <v>4527273</v>
      </c>
      <c r="O54" s="148">
        <f t="shared" si="3"/>
        <v>3.4070552732199527E-3</v>
      </c>
      <c r="P54" s="204">
        <f t="shared" si="4"/>
        <v>6</v>
      </c>
      <c r="Q54" s="131"/>
      <c r="R54" s="131"/>
    </row>
    <row r="55" spans="1:18" s="119" customFormat="1" ht="17.25" customHeight="1" x14ac:dyDescent="0.25">
      <c r="B55" s="164" t="s">
        <v>78</v>
      </c>
      <c r="C55" s="138" t="s">
        <v>79</v>
      </c>
      <c r="D55" s="147">
        <f>+D56</f>
        <v>1800000000</v>
      </c>
      <c r="E55" s="147">
        <f t="shared" si="9"/>
        <v>0</v>
      </c>
      <c r="F55" s="147">
        <f t="shared" si="9"/>
        <v>-471206471</v>
      </c>
      <c r="G55" s="147">
        <f t="shared" si="0"/>
        <v>1328793529</v>
      </c>
      <c r="H55" s="147">
        <f>+H56</f>
        <v>0</v>
      </c>
      <c r="I55" s="147">
        <f t="shared" si="1"/>
        <v>1328793529</v>
      </c>
      <c r="J55" s="147">
        <f t="shared" si="10"/>
        <v>4527273</v>
      </c>
      <c r="K55" s="147">
        <f t="shared" si="10"/>
        <v>4527273</v>
      </c>
      <c r="L55" s="148">
        <f t="shared" si="2"/>
        <v>3.4070552732199527E-3</v>
      </c>
      <c r="M55" s="147">
        <f t="shared" si="11"/>
        <v>4527273</v>
      </c>
      <c r="N55" s="147">
        <f t="shared" si="11"/>
        <v>4527273</v>
      </c>
      <c r="O55" s="148">
        <f t="shared" si="3"/>
        <v>3.4070552732199527E-3</v>
      </c>
      <c r="P55" s="204">
        <f t="shared" si="4"/>
        <v>8</v>
      </c>
      <c r="Q55" s="131"/>
      <c r="R55" s="131"/>
    </row>
    <row r="56" spans="1:18" ht="17.25" customHeight="1" x14ac:dyDescent="0.25">
      <c r="B56" s="163" t="s">
        <v>80</v>
      </c>
      <c r="C56" s="149" t="s">
        <v>174</v>
      </c>
      <c r="D56" s="145">
        <f>VLOOKUP($B56,DATOS!$A$1:$N$114,3,FALSE)</f>
        <v>1800000000</v>
      </c>
      <c r="E56" s="150">
        <f>VLOOKUP($B56,DATOS!$A$1:$N$114,4,FALSE)</f>
        <v>0</v>
      </c>
      <c r="F56" s="150">
        <f>VLOOKUP($B56,DATOS!$A$1:$N$114,5,FALSE)</f>
        <v>-471206471</v>
      </c>
      <c r="G56" s="150">
        <f t="shared" si="0"/>
        <v>1328793529</v>
      </c>
      <c r="H56" s="145">
        <f>VLOOKUP($B56,DATOS!$A$1:$N$114,7,FALSE)</f>
        <v>0</v>
      </c>
      <c r="I56" s="150">
        <f t="shared" si="1"/>
        <v>1328793529</v>
      </c>
      <c r="J56" s="145">
        <f>VLOOKUP($B56,DATOS!$A$1:$N$114,9,FALSE)</f>
        <v>4527273</v>
      </c>
      <c r="K56" s="145">
        <f>VLOOKUP($B56,DATOS!$A$1:$N$114,10,FALSE)</f>
        <v>4527273</v>
      </c>
      <c r="L56" s="151">
        <f t="shared" si="2"/>
        <v>3.4070552732199527E-3</v>
      </c>
      <c r="M56" s="145">
        <f>VLOOKUP($B56,DATOS!$A$1:$N$114,12,FALSE)</f>
        <v>4527273</v>
      </c>
      <c r="N56" s="145">
        <f>VLOOKUP($B56,DATOS!$A$1:$N$114,13,FALSE)</f>
        <v>4527273</v>
      </c>
      <c r="O56" s="151">
        <f t="shared" si="3"/>
        <v>3.4070552732199527E-3</v>
      </c>
      <c r="P56" s="204">
        <f t="shared" si="4"/>
        <v>11</v>
      </c>
      <c r="Q56" s="131"/>
      <c r="R56" s="131"/>
    </row>
    <row r="57" spans="1:18" s="119" customFormat="1" ht="17.25" customHeight="1" x14ac:dyDescent="0.2">
      <c r="B57" s="172" t="s">
        <v>81</v>
      </c>
      <c r="C57" s="158" t="s">
        <v>233</v>
      </c>
      <c r="D57" s="159">
        <f>+D58</f>
        <v>7013635000</v>
      </c>
      <c r="E57" s="159">
        <f>+E58</f>
        <v>0</v>
      </c>
      <c r="F57" s="159">
        <f>+F58</f>
        <v>5625041507</v>
      </c>
      <c r="G57" s="159">
        <f t="shared" si="0"/>
        <v>12638676507</v>
      </c>
      <c r="H57" s="159">
        <f>+H58</f>
        <v>0</v>
      </c>
      <c r="I57" s="159">
        <f t="shared" si="1"/>
        <v>12638676507</v>
      </c>
      <c r="J57" s="159">
        <f>+J58</f>
        <v>153681000</v>
      </c>
      <c r="K57" s="159">
        <f>+K58</f>
        <v>6165855000</v>
      </c>
      <c r="L57" s="160">
        <f t="shared" si="2"/>
        <v>0.4878560659880018</v>
      </c>
      <c r="M57" s="159">
        <f>+M58</f>
        <v>153681000</v>
      </c>
      <c r="N57" s="159">
        <f>+N58</f>
        <v>6165855000</v>
      </c>
      <c r="O57" s="160">
        <f t="shared" si="3"/>
        <v>0.4878560659880018</v>
      </c>
      <c r="P57" s="204">
        <f t="shared" si="4"/>
        <v>4</v>
      </c>
      <c r="Q57" s="131"/>
      <c r="R57" s="131"/>
    </row>
    <row r="58" spans="1:18" s="119" customFormat="1" ht="17.25" customHeight="1" x14ac:dyDescent="0.2">
      <c r="B58" s="164" t="s">
        <v>82</v>
      </c>
      <c r="C58" s="157" t="s">
        <v>83</v>
      </c>
      <c r="D58" s="153">
        <f>SUM(D59:D61)</f>
        <v>7013635000</v>
      </c>
      <c r="E58" s="153">
        <f>SUM(E59:E61)</f>
        <v>0</v>
      </c>
      <c r="F58" s="153">
        <f>SUM(F59:F61)</f>
        <v>5625041507</v>
      </c>
      <c r="G58" s="153">
        <f t="shared" si="0"/>
        <v>12638676507</v>
      </c>
      <c r="H58" s="153">
        <f>SUM(H59:H61)</f>
        <v>0</v>
      </c>
      <c r="I58" s="153">
        <f t="shared" si="1"/>
        <v>12638676507</v>
      </c>
      <c r="J58" s="153">
        <f>SUM(J59:J61)</f>
        <v>153681000</v>
      </c>
      <c r="K58" s="153">
        <f>SUM(K59:K61)</f>
        <v>6165855000</v>
      </c>
      <c r="L58" s="154">
        <f t="shared" si="2"/>
        <v>0.4878560659880018</v>
      </c>
      <c r="M58" s="153">
        <f>SUM(M59:M61)</f>
        <v>153681000</v>
      </c>
      <c r="N58" s="153">
        <f>SUM(N59:N61)</f>
        <v>6165855000</v>
      </c>
      <c r="O58" s="154">
        <f t="shared" si="3"/>
        <v>0.4878560659880018</v>
      </c>
      <c r="P58" s="204">
        <f t="shared" si="4"/>
        <v>6</v>
      </c>
      <c r="Q58" s="131"/>
      <c r="R58" s="131"/>
    </row>
    <row r="59" spans="1:18" ht="17.25" customHeight="1" x14ac:dyDescent="0.2">
      <c r="B59" s="163" t="s">
        <v>84</v>
      </c>
      <c r="C59" s="144" t="s">
        <v>176</v>
      </c>
      <c r="D59" s="145">
        <f>VLOOKUP($B59,DATOS!$A$1:$N$114,3,FALSE)</f>
        <v>3537077000</v>
      </c>
      <c r="E59" s="145">
        <f>VLOOKUP($B59,DATOS!$A$1:$N$114,4,FALSE)</f>
        <v>0</v>
      </c>
      <c r="F59" s="145">
        <f>VLOOKUP($B59,DATOS!$A$1:$N$114,5,FALSE)</f>
        <v>5533782507</v>
      </c>
      <c r="G59" s="145">
        <f t="shared" si="0"/>
        <v>9070859507</v>
      </c>
      <c r="H59" s="145">
        <f>VLOOKUP($B59,DATOS!$A$1:$N$114,7,FALSE)</f>
        <v>0</v>
      </c>
      <c r="I59" s="145">
        <f t="shared" si="1"/>
        <v>9070859507</v>
      </c>
      <c r="J59" s="145">
        <f>VLOOKUP($B59,DATOS!$A$1:$N$114,9,FALSE)</f>
        <v>55013000</v>
      </c>
      <c r="K59" s="145">
        <f>VLOOKUP($B59,DATOS!$A$1:$N$114,10,FALSE)</f>
        <v>5090132000</v>
      </c>
      <c r="L59" s="146">
        <f t="shared" si="2"/>
        <v>0.56115211530637588</v>
      </c>
      <c r="M59" s="145">
        <f>VLOOKUP($B59,DATOS!$A$1:$N$114,12,FALSE)</f>
        <v>55013000</v>
      </c>
      <c r="N59" s="145">
        <f>VLOOKUP($B59,DATOS!$A$1:$N$114,13,FALSE)</f>
        <v>5090132000</v>
      </c>
      <c r="O59" s="146">
        <f t="shared" si="3"/>
        <v>0.56115211530637588</v>
      </c>
      <c r="P59" s="204">
        <f t="shared" si="4"/>
        <v>8</v>
      </c>
      <c r="Q59" s="131"/>
      <c r="R59" s="131"/>
    </row>
    <row r="60" spans="1:18" ht="17.25" customHeight="1" x14ac:dyDescent="0.25">
      <c r="B60" s="163" t="s">
        <v>85</v>
      </c>
      <c r="C60" s="149" t="s">
        <v>177</v>
      </c>
      <c r="D60" s="145">
        <f>VLOOKUP($B60,DATOS!$A$1:$N$114,3,FALSE)</f>
        <v>5000000</v>
      </c>
      <c r="E60" s="150">
        <f>VLOOKUP($B60,DATOS!$A$1:$N$114,4,FALSE)</f>
        <v>0</v>
      </c>
      <c r="F60" s="150">
        <f>VLOOKUP($B60,DATOS!$A$1:$N$114,5,FALSE)</f>
        <v>0</v>
      </c>
      <c r="G60" s="150">
        <f t="shared" si="0"/>
        <v>5000000</v>
      </c>
      <c r="H60" s="145">
        <f>VLOOKUP($B60,DATOS!$A$1:$N$114,7,FALSE)</f>
        <v>0</v>
      </c>
      <c r="I60" s="150">
        <f t="shared" si="1"/>
        <v>5000000</v>
      </c>
      <c r="J60" s="145">
        <f>VLOOKUP($B60,DATOS!$A$1:$N$114,9,FALSE)</f>
        <v>0</v>
      </c>
      <c r="K60" s="145">
        <f>VLOOKUP($B60,DATOS!$A$1:$N$114,10,FALSE)</f>
        <v>380000</v>
      </c>
      <c r="L60" s="151">
        <f t="shared" si="2"/>
        <v>7.5999999999999998E-2</v>
      </c>
      <c r="M60" s="145">
        <f>VLOOKUP($B60,DATOS!$A$1:$N$114,12,FALSE)</f>
        <v>0</v>
      </c>
      <c r="N60" s="145">
        <f>VLOOKUP($B60,DATOS!$A$1:$N$114,13,FALSE)</f>
        <v>380000</v>
      </c>
      <c r="O60" s="151">
        <f t="shared" si="3"/>
        <v>7.5999999999999998E-2</v>
      </c>
      <c r="P60" s="204">
        <f t="shared" si="4"/>
        <v>8</v>
      </c>
      <c r="Q60" s="131"/>
      <c r="R60" s="131"/>
    </row>
    <row r="61" spans="1:18" ht="17.25" customHeight="1" x14ac:dyDescent="0.25">
      <c r="B61" s="163" t="s">
        <v>86</v>
      </c>
      <c r="C61" s="144" t="s">
        <v>178</v>
      </c>
      <c r="D61" s="145">
        <f>VLOOKUP($B61,DATOS!$A$1:$N$114,3,FALSE)</f>
        <v>3471558000</v>
      </c>
      <c r="E61" s="150">
        <f>VLOOKUP($B61,DATOS!$A$1:$N$114,4,FALSE)</f>
        <v>0</v>
      </c>
      <c r="F61" s="150">
        <f>VLOOKUP($B61,DATOS!$A$1:$N$114,5,FALSE)</f>
        <v>91259000</v>
      </c>
      <c r="G61" s="150">
        <f t="shared" si="0"/>
        <v>3562817000</v>
      </c>
      <c r="H61" s="145">
        <f>VLOOKUP($B61,DATOS!$A$1:$N$114,7,FALSE)</f>
        <v>0</v>
      </c>
      <c r="I61" s="150">
        <f t="shared" si="1"/>
        <v>3562817000</v>
      </c>
      <c r="J61" s="145">
        <f>VLOOKUP($B61,DATOS!$A$1:$N$114,9,FALSE)</f>
        <v>98668000</v>
      </c>
      <c r="K61" s="145">
        <f>VLOOKUP($B61,DATOS!$A$1:$N$114,10,FALSE)</f>
        <v>1075343000</v>
      </c>
      <c r="L61" s="151">
        <f t="shared" si="2"/>
        <v>0.30182380964276301</v>
      </c>
      <c r="M61" s="145">
        <f>VLOOKUP($B61,DATOS!$A$1:$N$114,12,FALSE)</f>
        <v>98668000</v>
      </c>
      <c r="N61" s="145">
        <f>VLOOKUP($B61,DATOS!$A$1:$N$114,13,FALSE)</f>
        <v>1075343000</v>
      </c>
      <c r="O61" s="151">
        <f t="shared" si="3"/>
        <v>0.30182380964276301</v>
      </c>
      <c r="P61" s="204">
        <f t="shared" si="4"/>
        <v>8</v>
      </c>
      <c r="Q61" s="131"/>
      <c r="R61" s="131"/>
    </row>
    <row r="62" spans="1:18" s="119" customFormat="1" ht="17.25" customHeight="1" x14ac:dyDescent="0.25">
      <c r="B62" s="172" t="s">
        <v>87</v>
      </c>
      <c r="C62" s="158" t="s">
        <v>14</v>
      </c>
      <c r="D62" s="155">
        <f t="shared" ref="D62:F62" si="12">+D63</f>
        <v>177372133000</v>
      </c>
      <c r="E62" s="155">
        <f t="shared" si="12"/>
        <v>0</v>
      </c>
      <c r="F62" s="155">
        <f t="shared" si="12"/>
        <v>114023951109</v>
      </c>
      <c r="G62" s="155">
        <f t="shared" si="0"/>
        <v>291396084109</v>
      </c>
      <c r="H62" s="155">
        <f>+H63</f>
        <v>0</v>
      </c>
      <c r="I62" s="155">
        <f t="shared" si="1"/>
        <v>291396084109</v>
      </c>
      <c r="J62" s="155">
        <f>+J63</f>
        <v>33282036115</v>
      </c>
      <c r="K62" s="155">
        <f>+K63</f>
        <v>277383051706</v>
      </c>
      <c r="L62" s="156">
        <f t="shared" si="2"/>
        <v>0.95191070447687187</v>
      </c>
      <c r="M62" s="155">
        <f>+M63</f>
        <v>23116946292</v>
      </c>
      <c r="N62" s="155">
        <f>+N63</f>
        <v>38092851006</v>
      </c>
      <c r="O62" s="156">
        <f t="shared" si="3"/>
        <v>0.13072533600606293</v>
      </c>
      <c r="P62" s="204">
        <f t="shared" si="4"/>
        <v>3</v>
      </c>
      <c r="Q62" s="131"/>
      <c r="R62" s="131"/>
    </row>
    <row r="63" spans="1:18" s="119" customFormat="1" ht="17.25" customHeight="1" x14ac:dyDescent="0.25">
      <c r="B63" s="172" t="s">
        <v>88</v>
      </c>
      <c r="C63" s="158" t="s">
        <v>89</v>
      </c>
      <c r="D63" s="155">
        <f>D64</f>
        <v>177372133000</v>
      </c>
      <c r="E63" s="155">
        <f t="shared" ref="E63:N63" si="13">E64</f>
        <v>0</v>
      </c>
      <c r="F63" s="155">
        <f t="shared" si="13"/>
        <v>114023951109</v>
      </c>
      <c r="G63" s="155">
        <f t="shared" si="13"/>
        <v>291396084109</v>
      </c>
      <c r="H63" s="155">
        <f t="shared" si="13"/>
        <v>0</v>
      </c>
      <c r="I63" s="155">
        <f t="shared" si="13"/>
        <v>291396084109</v>
      </c>
      <c r="J63" s="155">
        <f t="shared" si="13"/>
        <v>33282036115</v>
      </c>
      <c r="K63" s="155">
        <f t="shared" si="13"/>
        <v>277383051706</v>
      </c>
      <c r="L63" s="156">
        <f t="shared" si="13"/>
        <v>0.95191070447687187</v>
      </c>
      <c r="M63" s="155">
        <f t="shared" si="13"/>
        <v>23116946292</v>
      </c>
      <c r="N63" s="155">
        <f t="shared" si="13"/>
        <v>38092851006</v>
      </c>
      <c r="O63" s="156">
        <f t="shared" si="3"/>
        <v>0.13072533600606293</v>
      </c>
      <c r="P63" s="204">
        <f t="shared" si="4"/>
        <v>5</v>
      </c>
      <c r="Q63" s="131"/>
      <c r="R63" s="131"/>
    </row>
    <row r="64" spans="1:18" ht="17.25" customHeight="1" x14ac:dyDescent="0.2">
      <c r="B64" s="164" t="s">
        <v>248</v>
      </c>
      <c r="C64" s="157" t="s">
        <v>249</v>
      </c>
      <c r="D64" s="153">
        <f>SUM(D65,D71)</f>
        <v>177372133000</v>
      </c>
      <c r="E64" s="153">
        <f t="shared" ref="E64:N64" si="14">SUM(E65,E71)</f>
        <v>0</v>
      </c>
      <c r="F64" s="153">
        <f t="shared" si="14"/>
        <v>114023951109</v>
      </c>
      <c r="G64" s="153">
        <f t="shared" ref="G64:G87" si="15">+D64+F64</f>
        <v>291396084109</v>
      </c>
      <c r="H64" s="153">
        <f t="shared" si="14"/>
        <v>0</v>
      </c>
      <c r="I64" s="153">
        <f t="shared" ref="I64:I87" si="16">+G64-H64</f>
        <v>291396084109</v>
      </c>
      <c r="J64" s="153">
        <f t="shared" si="14"/>
        <v>33282036115</v>
      </c>
      <c r="K64" s="153">
        <f t="shared" si="14"/>
        <v>277383051706</v>
      </c>
      <c r="L64" s="154">
        <f t="shared" ref="L64:L87" si="17">IFERROR(K64/I64,0)</f>
        <v>0.95191070447687187</v>
      </c>
      <c r="M64" s="153">
        <f t="shared" si="14"/>
        <v>23116946292</v>
      </c>
      <c r="N64" s="153">
        <f t="shared" si="14"/>
        <v>38092851006</v>
      </c>
      <c r="O64" s="154">
        <f t="shared" ref="O64:O87" si="18">IFERROR(N64/I64,0)</f>
        <v>0.13072533600606293</v>
      </c>
      <c r="P64" s="204">
        <f t="shared" si="4"/>
        <v>7</v>
      </c>
      <c r="Q64" s="131"/>
      <c r="R64" s="131"/>
    </row>
    <row r="65" spans="1:18" ht="17.25" customHeight="1" x14ac:dyDescent="0.2">
      <c r="B65" s="164" t="s">
        <v>250</v>
      </c>
      <c r="C65" s="157" t="s">
        <v>251</v>
      </c>
      <c r="D65" s="153">
        <f>SUM(D66,D68)</f>
        <v>168947133000</v>
      </c>
      <c r="E65" s="153">
        <f t="shared" ref="E65:N65" si="19">SUM(E66,E68)</f>
        <v>0</v>
      </c>
      <c r="F65" s="153">
        <f t="shared" si="19"/>
        <v>115575728132</v>
      </c>
      <c r="G65" s="153">
        <f t="shared" si="15"/>
        <v>284522861132</v>
      </c>
      <c r="H65" s="153">
        <f t="shared" si="19"/>
        <v>0</v>
      </c>
      <c r="I65" s="153">
        <f t="shared" si="16"/>
        <v>284522861132</v>
      </c>
      <c r="J65" s="153">
        <f t="shared" si="19"/>
        <v>32058243753</v>
      </c>
      <c r="K65" s="153">
        <f t="shared" si="19"/>
        <v>271967226796</v>
      </c>
      <c r="L65" s="154">
        <f t="shared" si="17"/>
        <v>0.95587126360937646</v>
      </c>
      <c r="M65" s="153">
        <f t="shared" si="19"/>
        <v>22499454348</v>
      </c>
      <c r="N65" s="153">
        <f t="shared" si="19"/>
        <v>34931843404</v>
      </c>
      <c r="O65" s="154">
        <f t="shared" si="18"/>
        <v>0.12277341534181294</v>
      </c>
      <c r="P65" s="204">
        <f t="shared" si="4"/>
        <v>9</v>
      </c>
      <c r="Q65" s="131"/>
      <c r="R65" s="131"/>
    </row>
    <row r="66" spans="1:18" ht="17.25" customHeight="1" x14ac:dyDescent="0.2">
      <c r="B66" s="164" t="s">
        <v>252</v>
      </c>
      <c r="C66" s="157" t="s">
        <v>253</v>
      </c>
      <c r="D66" s="153">
        <f>D67</f>
        <v>17895453000</v>
      </c>
      <c r="E66" s="153">
        <f t="shared" ref="E66:N66" si="20">E67</f>
        <v>0</v>
      </c>
      <c r="F66" s="153">
        <f t="shared" si="20"/>
        <v>-26111124</v>
      </c>
      <c r="G66" s="153">
        <f t="shared" si="15"/>
        <v>17869341876</v>
      </c>
      <c r="H66" s="153">
        <f t="shared" si="20"/>
        <v>0</v>
      </c>
      <c r="I66" s="153">
        <f t="shared" si="16"/>
        <v>17869341876</v>
      </c>
      <c r="J66" s="153">
        <f t="shared" si="20"/>
        <v>17450692140</v>
      </c>
      <c r="K66" s="153">
        <f t="shared" si="20"/>
        <v>17869135840</v>
      </c>
      <c r="L66" s="154">
        <f t="shared" si="17"/>
        <v>0.99998846986075762</v>
      </c>
      <c r="M66" s="153">
        <f t="shared" si="20"/>
        <v>17551924417</v>
      </c>
      <c r="N66" s="153">
        <f t="shared" si="20"/>
        <v>17653319057</v>
      </c>
      <c r="O66" s="154">
        <f t="shared" si="18"/>
        <v>0.98791098068977368</v>
      </c>
      <c r="P66" s="204">
        <f t="shared" si="4"/>
        <v>11</v>
      </c>
      <c r="Q66" s="131"/>
      <c r="R66" s="131"/>
    </row>
    <row r="67" spans="1:18" ht="17.25" customHeight="1" x14ac:dyDescent="0.25">
      <c r="B67" s="173" t="s">
        <v>254</v>
      </c>
      <c r="C67" s="161" t="s">
        <v>255</v>
      </c>
      <c r="D67" s="162">
        <f>VLOOKUP($B67,DATOS!$A$1:$N$118,3,FALSE)</f>
        <v>17895453000</v>
      </c>
      <c r="E67" s="162">
        <f>VLOOKUP($B67,DATOS!$A$1:$N$118,4,FALSE)</f>
        <v>0</v>
      </c>
      <c r="F67" s="162">
        <f>VLOOKUP($B67,DATOS!$A$1:$N$118,5,FALSE)</f>
        <v>-26111124</v>
      </c>
      <c r="G67" s="174">
        <f t="shared" ref="G67" si="21">+D67+F67</f>
        <v>17869341876</v>
      </c>
      <c r="H67" s="162">
        <f>VLOOKUP($B67,DATOS!$A$1:$N$118,7,FALSE)</f>
        <v>0</v>
      </c>
      <c r="I67" s="174">
        <f t="shared" ref="I67" si="22">+G67-H67</f>
        <v>17869341876</v>
      </c>
      <c r="J67" s="162">
        <f>VLOOKUP($B67,DATOS!$A$1:$N$118,9,FALSE)</f>
        <v>17450692140</v>
      </c>
      <c r="K67" s="162">
        <f>VLOOKUP($B67,DATOS!$A$1:$N$118,10,FALSE)</f>
        <v>17869135840</v>
      </c>
      <c r="L67" s="175">
        <f t="shared" ref="L67" si="23">IFERROR(K67/I67,0)</f>
        <v>0.99998846986075762</v>
      </c>
      <c r="M67" s="162">
        <f>VLOOKUP($B67,DATOS!$A$1:$N$118,12,FALSE)</f>
        <v>17551924417</v>
      </c>
      <c r="N67" s="162">
        <f>VLOOKUP($B67,DATOS!$A$1:$N$118,13,FALSE)</f>
        <v>17653319057</v>
      </c>
      <c r="O67" s="175">
        <f t="shared" ref="O67" si="24">IFERROR(N67/I67,0)</f>
        <v>0.98791098068977368</v>
      </c>
      <c r="P67" s="204">
        <f t="shared" si="4"/>
        <v>24</v>
      </c>
      <c r="Q67" s="131"/>
      <c r="R67" s="131"/>
    </row>
    <row r="68" spans="1:18" ht="17.25" customHeight="1" x14ac:dyDescent="0.2">
      <c r="B68" s="164" t="s">
        <v>256</v>
      </c>
      <c r="C68" s="157" t="s">
        <v>257</v>
      </c>
      <c r="D68" s="153">
        <f>SUM(D69:D70)</f>
        <v>151051680000</v>
      </c>
      <c r="E68" s="153">
        <f t="shared" ref="E68:N68" si="25">SUM(E69:E70)</f>
        <v>0</v>
      </c>
      <c r="F68" s="153">
        <f t="shared" si="25"/>
        <v>115601839256</v>
      </c>
      <c r="G68" s="153">
        <f t="shared" si="15"/>
        <v>266653519256</v>
      </c>
      <c r="H68" s="153">
        <f t="shared" si="25"/>
        <v>0</v>
      </c>
      <c r="I68" s="153">
        <f t="shared" si="16"/>
        <v>266653519256</v>
      </c>
      <c r="J68" s="153">
        <f t="shared" si="25"/>
        <v>14607551613</v>
      </c>
      <c r="K68" s="153">
        <f t="shared" si="25"/>
        <v>254098090956</v>
      </c>
      <c r="L68" s="154">
        <f t="shared" si="17"/>
        <v>0.95291482244437886</v>
      </c>
      <c r="M68" s="153">
        <f t="shared" si="25"/>
        <v>4947529931</v>
      </c>
      <c r="N68" s="153">
        <f t="shared" si="25"/>
        <v>17278524347</v>
      </c>
      <c r="O68" s="154">
        <f t="shared" si="18"/>
        <v>6.4797661006723101E-2</v>
      </c>
      <c r="P68" s="204">
        <f t="shared" si="4"/>
        <v>11</v>
      </c>
      <c r="Q68" s="131"/>
      <c r="R68" s="131"/>
    </row>
    <row r="69" spans="1:18" ht="17.25" customHeight="1" x14ac:dyDescent="0.25">
      <c r="B69" s="173" t="s">
        <v>258</v>
      </c>
      <c r="C69" s="161" t="s">
        <v>259</v>
      </c>
      <c r="D69" s="162">
        <f>VLOOKUP($B69,DATOS!$A$1:$N$118,3,FALSE)</f>
        <v>136746686000</v>
      </c>
      <c r="E69" s="162">
        <f>VLOOKUP($B69,DATOS!$A$1:$N$118,4,FALSE)</f>
        <v>0</v>
      </c>
      <c r="F69" s="162">
        <f>VLOOKUP($B69,DATOS!$A$1:$N$118,5,FALSE)</f>
        <v>116248094976</v>
      </c>
      <c r="G69" s="174">
        <f t="shared" ref="G69:G70" si="26">+D69+F69</f>
        <v>252994780976</v>
      </c>
      <c r="H69" s="162">
        <f>VLOOKUP($B69,DATOS!$A$1:$N$118,7,FALSE)</f>
        <v>0</v>
      </c>
      <c r="I69" s="174">
        <f t="shared" ref="I69:I70" si="27">+G69-H69</f>
        <v>252994780976</v>
      </c>
      <c r="J69" s="162">
        <f>VLOOKUP($B69,DATOS!$A$1:$N$118,9,FALSE)</f>
        <v>13933724030</v>
      </c>
      <c r="K69" s="162">
        <f>VLOOKUP($B69,DATOS!$A$1:$N$118,10,FALSE)</f>
        <v>252486646293</v>
      </c>
      <c r="L69" s="175">
        <f t="shared" ref="L69:L70" si="28">IFERROR(K69/I69,0)</f>
        <v>0.99799152108577216</v>
      </c>
      <c r="M69" s="162">
        <f>VLOOKUP($B69,DATOS!$A$1:$N$118,12,FALSE)</f>
        <v>4903949231</v>
      </c>
      <c r="N69" s="162">
        <f>VLOOKUP($B69,DATOS!$A$1:$N$118,13,FALSE)</f>
        <v>16408731829</v>
      </c>
      <c r="O69" s="175">
        <f t="shared" ref="O69:O70" si="29">IFERROR(N69/I69,0)</f>
        <v>6.4857985471868648E-2</v>
      </c>
      <c r="P69" s="204">
        <f t="shared" si="4"/>
        <v>24</v>
      </c>
      <c r="Q69" s="131"/>
      <c r="R69" s="131"/>
    </row>
    <row r="70" spans="1:18" ht="17.25" customHeight="1" x14ac:dyDescent="0.25">
      <c r="B70" s="173" t="s">
        <v>260</v>
      </c>
      <c r="C70" s="161" t="s">
        <v>261</v>
      </c>
      <c r="D70" s="162">
        <f>VLOOKUP($B70,DATOS!$A$1:$N$118,3,FALSE)</f>
        <v>14304994000</v>
      </c>
      <c r="E70" s="162">
        <f>VLOOKUP($B70,DATOS!$A$1:$N$118,4,FALSE)</f>
        <v>0</v>
      </c>
      <c r="F70" s="162">
        <f>VLOOKUP($B70,DATOS!$A$1:$N$118,5,FALSE)</f>
        <v>-646255720</v>
      </c>
      <c r="G70" s="174">
        <f t="shared" si="26"/>
        <v>13658738280</v>
      </c>
      <c r="H70" s="162">
        <f>VLOOKUP($B70,DATOS!$A$1:$N$118,7,FALSE)</f>
        <v>0</v>
      </c>
      <c r="I70" s="174">
        <f t="shared" si="27"/>
        <v>13658738280</v>
      </c>
      <c r="J70" s="162">
        <f>VLOOKUP($B70,DATOS!$A$1:$N$118,9,FALSE)</f>
        <v>673827583</v>
      </c>
      <c r="K70" s="162">
        <f>VLOOKUP($B70,DATOS!$A$1:$N$118,10,FALSE)</f>
        <v>1611444663</v>
      </c>
      <c r="L70" s="175">
        <f t="shared" si="28"/>
        <v>0.11797902778176668</v>
      </c>
      <c r="M70" s="162">
        <f>VLOOKUP($B70,DATOS!$A$1:$N$118,12,FALSE)</f>
        <v>43580700</v>
      </c>
      <c r="N70" s="162">
        <f>VLOOKUP($B70,DATOS!$A$1:$N$118,13,FALSE)</f>
        <v>869792518</v>
      </c>
      <c r="O70" s="175">
        <f t="shared" si="29"/>
        <v>6.3680297562594482E-2</v>
      </c>
      <c r="P70" s="204">
        <f t="shared" si="4"/>
        <v>24</v>
      </c>
      <c r="Q70" s="131"/>
      <c r="R70" s="131"/>
    </row>
    <row r="71" spans="1:18" ht="17.25" customHeight="1" x14ac:dyDescent="0.2">
      <c r="B71" s="164" t="s">
        <v>262</v>
      </c>
      <c r="C71" s="157" t="s">
        <v>263</v>
      </c>
      <c r="D71" s="153">
        <f>D72</f>
        <v>8425000000</v>
      </c>
      <c r="E71" s="153">
        <f t="shared" ref="E71:N72" si="30">E72</f>
        <v>0</v>
      </c>
      <c r="F71" s="153">
        <f t="shared" si="30"/>
        <v>-1551777023</v>
      </c>
      <c r="G71" s="153">
        <f t="shared" si="15"/>
        <v>6873222977</v>
      </c>
      <c r="H71" s="153">
        <f t="shared" si="30"/>
        <v>0</v>
      </c>
      <c r="I71" s="153">
        <f t="shared" si="16"/>
        <v>6873222977</v>
      </c>
      <c r="J71" s="153">
        <f t="shared" si="30"/>
        <v>1223792362</v>
      </c>
      <c r="K71" s="153">
        <f t="shared" si="30"/>
        <v>5415824910</v>
      </c>
      <c r="L71" s="154">
        <f t="shared" si="17"/>
        <v>0.787960019356724</v>
      </c>
      <c r="M71" s="153">
        <f t="shared" si="30"/>
        <v>617491944</v>
      </c>
      <c r="N71" s="153">
        <f t="shared" si="30"/>
        <v>3161007602</v>
      </c>
      <c r="O71" s="154">
        <f t="shared" si="18"/>
        <v>0.45990179753774052</v>
      </c>
      <c r="P71" s="204">
        <f t="shared" si="4"/>
        <v>9</v>
      </c>
      <c r="Q71" s="131"/>
      <c r="R71" s="131"/>
    </row>
    <row r="72" spans="1:18" ht="17.25" customHeight="1" x14ac:dyDescent="0.2">
      <c r="B72" s="164" t="s">
        <v>264</v>
      </c>
      <c r="C72" s="157" t="s">
        <v>265</v>
      </c>
      <c r="D72" s="153">
        <f>D73</f>
        <v>8425000000</v>
      </c>
      <c r="E72" s="153">
        <f t="shared" si="30"/>
        <v>0</v>
      </c>
      <c r="F72" s="153">
        <f t="shared" si="30"/>
        <v>-1551777023</v>
      </c>
      <c r="G72" s="153">
        <f t="shared" si="15"/>
        <v>6873222977</v>
      </c>
      <c r="H72" s="153">
        <f t="shared" si="30"/>
        <v>0</v>
      </c>
      <c r="I72" s="153">
        <f t="shared" si="16"/>
        <v>6873222977</v>
      </c>
      <c r="J72" s="153">
        <f t="shared" si="30"/>
        <v>1223792362</v>
      </c>
      <c r="K72" s="153">
        <f t="shared" si="30"/>
        <v>5415824910</v>
      </c>
      <c r="L72" s="154">
        <f t="shared" si="17"/>
        <v>0.787960019356724</v>
      </c>
      <c r="M72" s="153">
        <f t="shared" si="30"/>
        <v>617491944</v>
      </c>
      <c r="N72" s="153">
        <f t="shared" si="30"/>
        <v>3161007602</v>
      </c>
      <c r="O72" s="154">
        <f t="shared" si="18"/>
        <v>0.45990179753774052</v>
      </c>
      <c r="P72" s="204">
        <f t="shared" si="4"/>
        <v>11</v>
      </c>
      <c r="Q72" s="131"/>
      <c r="R72" s="131"/>
    </row>
    <row r="73" spans="1:18" ht="17.25" customHeight="1" x14ac:dyDescent="0.25">
      <c r="B73" s="173" t="s">
        <v>266</v>
      </c>
      <c r="C73" s="161" t="s">
        <v>267</v>
      </c>
      <c r="D73" s="162">
        <f>VLOOKUP($B73,DATOS!$A$1:$N$118,3,FALSE)</f>
        <v>8425000000</v>
      </c>
      <c r="E73" s="162">
        <f>VLOOKUP($B73,DATOS!$A$1:$N$118,4,FALSE)</f>
        <v>0</v>
      </c>
      <c r="F73" s="162">
        <f>VLOOKUP($B73,DATOS!$A$1:$N$118,5,FALSE)</f>
        <v>-1551777023</v>
      </c>
      <c r="G73" s="174">
        <f t="shared" ref="G73" si="31">+D73+F73</f>
        <v>6873222977</v>
      </c>
      <c r="H73" s="162">
        <f>VLOOKUP($B73,DATOS!$A$1:$N$118,7,FALSE)</f>
        <v>0</v>
      </c>
      <c r="I73" s="174">
        <f t="shared" ref="I73" si="32">+G73-H73</f>
        <v>6873222977</v>
      </c>
      <c r="J73" s="162">
        <f>VLOOKUP($B73,DATOS!$A$1:$N$118,9,FALSE)</f>
        <v>1223792362</v>
      </c>
      <c r="K73" s="162">
        <f>VLOOKUP($B73,DATOS!$A$1:$N$118,10,FALSE)</f>
        <v>5415824910</v>
      </c>
      <c r="L73" s="175">
        <f t="shared" ref="L73" si="33">IFERROR(K73/I73,0)</f>
        <v>0.787960019356724</v>
      </c>
      <c r="M73" s="162">
        <f>VLOOKUP($B73,DATOS!$A$1:$N$118,12,FALSE)</f>
        <v>617491944</v>
      </c>
      <c r="N73" s="162">
        <f>VLOOKUP($B73,DATOS!$A$1:$N$118,13,FALSE)</f>
        <v>3161007602</v>
      </c>
      <c r="O73" s="175">
        <f t="shared" ref="O73" si="34">IFERROR(N73/I73,0)</f>
        <v>0.45990179753774052</v>
      </c>
      <c r="P73" s="204">
        <f t="shared" si="4"/>
        <v>24</v>
      </c>
      <c r="Q73" s="131"/>
      <c r="R73" s="131"/>
    </row>
    <row r="74" spans="1:18" ht="17.25" customHeight="1" x14ac:dyDescent="0.25">
      <c r="B74" s="163" t="s">
        <v>272</v>
      </c>
      <c r="C74" s="144" t="s">
        <v>236</v>
      </c>
      <c r="D74" s="145">
        <f>VLOOKUP($B74,DATOS!$A$1:$N$118,3,FALSE)</f>
        <v>0</v>
      </c>
      <c r="E74" s="145">
        <f>VLOOKUP($B74,DATOS!$A$1:$N$118,4,FALSE)</f>
        <v>0</v>
      </c>
      <c r="F74" s="145">
        <f>VLOOKUP($B74,DATOS!$A$1:$N$118,5,FALSE)</f>
        <v>0</v>
      </c>
      <c r="G74" s="150">
        <f t="shared" ref="G74" si="35">+D74+F74</f>
        <v>0</v>
      </c>
      <c r="H74" s="145">
        <f>VLOOKUP($B74,DATOS!$A$1:$N$118,7,FALSE)</f>
        <v>0</v>
      </c>
      <c r="I74" s="150">
        <f t="shared" ref="I74" si="36">+G74-H74</f>
        <v>0</v>
      </c>
      <c r="J74" s="145">
        <f>VLOOKUP($B74,DATOS!$A$1:$N$118,9,FALSE)</f>
        <v>0</v>
      </c>
      <c r="K74" s="145">
        <f>VLOOKUP($B74,DATOS!$A$1:$N$118,10,FALSE)</f>
        <v>0</v>
      </c>
      <c r="L74" s="151">
        <f t="shared" ref="L74" si="37">IFERROR(K74/I74,0)</f>
        <v>0</v>
      </c>
      <c r="M74" s="145">
        <f>VLOOKUP($B74,DATOS!$A$1:$N$118,12,FALSE)</f>
        <v>0</v>
      </c>
      <c r="N74" s="145">
        <f>VLOOKUP($B74,DATOS!$A$1:$N$118,13,FALSE)</f>
        <v>0</v>
      </c>
      <c r="O74" s="151">
        <f t="shared" ref="O74" si="38">IFERROR(N74/I74,0)</f>
        <v>0</v>
      </c>
      <c r="P74" s="204">
        <f t="shared" si="4"/>
        <v>5</v>
      </c>
      <c r="Q74" s="131"/>
      <c r="R74" s="131"/>
    </row>
    <row r="75" spans="1:18" s="119" customFormat="1" ht="17.25" customHeight="1" x14ac:dyDescent="0.2">
      <c r="B75" s="172" t="s">
        <v>93</v>
      </c>
      <c r="C75" s="158" t="s">
        <v>94</v>
      </c>
      <c r="D75" s="159">
        <f>D76</f>
        <v>307200645000</v>
      </c>
      <c r="E75" s="159">
        <f>E76</f>
        <v>0</v>
      </c>
      <c r="F75" s="159">
        <f>F76</f>
        <v>-47744786676</v>
      </c>
      <c r="G75" s="159">
        <f t="shared" si="15"/>
        <v>259455858324</v>
      </c>
      <c r="H75" s="159">
        <f>H76</f>
        <v>0</v>
      </c>
      <c r="I75" s="159">
        <f t="shared" si="16"/>
        <v>259455858324</v>
      </c>
      <c r="J75" s="159">
        <f>J76</f>
        <v>14710752649</v>
      </c>
      <c r="K75" s="159">
        <f>K76</f>
        <v>99789716997</v>
      </c>
      <c r="L75" s="160">
        <f t="shared" si="17"/>
        <v>0.38461153909419871</v>
      </c>
      <c r="M75" s="159">
        <f>M76</f>
        <v>8879876659</v>
      </c>
      <c r="N75" s="159">
        <f>N76</f>
        <v>60524256230</v>
      </c>
      <c r="O75" s="160">
        <f t="shared" si="18"/>
        <v>0.23327380858141691</v>
      </c>
      <c r="P75" s="204">
        <f t="shared" ref="P75:P87" si="39">LEN(B75)</f>
        <v>3</v>
      </c>
      <c r="Q75" s="131"/>
      <c r="R75" s="131"/>
    </row>
    <row r="76" spans="1:18" s="119" customFormat="1" ht="17.25" customHeight="1" x14ac:dyDescent="0.2">
      <c r="B76" s="172" t="s">
        <v>95</v>
      </c>
      <c r="C76" s="158" t="s">
        <v>103</v>
      </c>
      <c r="D76" s="159">
        <f>+D77+D80</f>
        <v>307200645000</v>
      </c>
      <c r="E76" s="159">
        <f>+E77+E80</f>
        <v>0</v>
      </c>
      <c r="F76" s="159">
        <f>+F77+F80</f>
        <v>-47744786676</v>
      </c>
      <c r="G76" s="159">
        <f t="shared" si="15"/>
        <v>259455858324</v>
      </c>
      <c r="H76" s="159">
        <f>+H77+H80</f>
        <v>0</v>
      </c>
      <c r="I76" s="159">
        <f t="shared" si="16"/>
        <v>259455858324</v>
      </c>
      <c r="J76" s="159">
        <f>+J77+J80</f>
        <v>14710752649</v>
      </c>
      <c r="K76" s="159">
        <f>+K77+K80</f>
        <v>99789716997</v>
      </c>
      <c r="L76" s="160">
        <f t="shared" si="17"/>
        <v>0.38461153909419871</v>
      </c>
      <c r="M76" s="159">
        <f>+M77+M80</f>
        <v>8879876659</v>
      </c>
      <c r="N76" s="159">
        <f>+N77+N80</f>
        <v>60524256230</v>
      </c>
      <c r="O76" s="160">
        <f t="shared" si="18"/>
        <v>0.23327380858141691</v>
      </c>
      <c r="P76" s="204">
        <f t="shared" si="39"/>
        <v>4</v>
      </c>
      <c r="Q76" s="131"/>
      <c r="R76" s="131"/>
    </row>
    <row r="77" spans="1:18" s="119" customFormat="1" ht="17.25" customHeight="1" x14ac:dyDescent="0.2">
      <c r="B77" s="164" t="s">
        <v>179</v>
      </c>
      <c r="C77" s="157" t="s">
        <v>180</v>
      </c>
      <c r="D77" s="153">
        <f>SUM(D78:D79)</f>
        <v>1000000</v>
      </c>
      <c r="E77" s="153">
        <f t="shared" ref="E77:N77" si="40">SUM(E78:E79)</f>
        <v>0</v>
      </c>
      <c r="F77" s="153">
        <f t="shared" si="40"/>
        <v>-1000000</v>
      </c>
      <c r="G77" s="153">
        <f t="shared" si="15"/>
        <v>0</v>
      </c>
      <c r="H77" s="153">
        <f t="shared" si="40"/>
        <v>0</v>
      </c>
      <c r="I77" s="153">
        <f t="shared" si="16"/>
        <v>0</v>
      </c>
      <c r="J77" s="153">
        <f t="shared" si="40"/>
        <v>0</v>
      </c>
      <c r="K77" s="153">
        <f t="shared" si="40"/>
        <v>0</v>
      </c>
      <c r="L77" s="154">
        <f t="shared" si="17"/>
        <v>0</v>
      </c>
      <c r="M77" s="153">
        <f t="shared" si="40"/>
        <v>0</v>
      </c>
      <c r="N77" s="153">
        <f t="shared" si="40"/>
        <v>0</v>
      </c>
      <c r="O77" s="154">
        <f t="shared" si="18"/>
        <v>0</v>
      </c>
      <c r="P77" s="204">
        <f t="shared" si="39"/>
        <v>6</v>
      </c>
      <c r="Q77" s="131"/>
      <c r="R77" s="131"/>
    </row>
    <row r="78" spans="1:18" ht="17.25" customHeight="1" x14ac:dyDescent="0.2">
      <c r="A78" s="86" t="s">
        <v>240</v>
      </c>
      <c r="B78" s="163" t="s">
        <v>181</v>
      </c>
      <c r="C78" s="144" t="s">
        <v>182</v>
      </c>
      <c r="D78" s="145">
        <f>VLOOKUP($B78,DATOS!$A$1:$N$114,3,FALSE)+VLOOKUP($A78,DATOS!$A$1:$N$114,3,FALSE)</f>
        <v>1000000</v>
      </c>
      <c r="E78" s="145">
        <f>VLOOKUP($B78,DATOS!$A$1:$N$114,4,FALSE)+VLOOKUP($A78,DATOS!$A$1:$N$114,4,FALSE)</f>
        <v>0</v>
      </c>
      <c r="F78" s="145">
        <f>VLOOKUP($B78,DATOS!$A$1:$N$114,5,FALSE)+VLOOKUP($A78,DATOS!$A$1:$N$114,5,FALSE)</f>
        <v>-1000000</v>
      </c>
      <c r="G78" s="145">
        <f t="shared" ref="G78" si="41">+D78+F78</f>
        <v>0</v>
      </c>
      <c r="H78" s="145">
        <f>VLOOKUP($B78,DATOS!$A$1:$N$114,7,FALSE)+VLOOKUP($A78,DATOS!$A$1:$N$114,7,FALSE)</f>
        <v>0</v>
      </c>
      <c r="I78" s="145">
        <f t="shared" ref="I78" si="42">+G78-H78</f>
        <v>0</v>
      </c>
      <c r="J78" s="145">
        <f>VLOOKUP($B78,DATOS!$A$1:$N$114,9,FALSE)+VLOOKUP($A78,DATOS!$A$1:$N$114,9,FALSE)</f>
        <v>0</v>
      </c>
      <c r="K78" s="145">
        <f>VLOOKUP($B78,DATOS!$A$1:$N$114,10,FALSE)+VLOOKUP($A78,DATOS!$A$1:$N$114,10,FALSE)</f>
        <v>0</v>
      </c>
      <c r="L78" s="146">
        <f t="shared" ref="L78" si="43">IFERROR(K78/I78,0)</f>
        <v>0</v>
      </c>
      <c r="M78" s="145">
        <f>VLOOKUP($B78,DATOS!$A$1:$N$114,12,FALSE)+VLOOKUP($A78,DATOS!$A$1:$N$114,12,FALSE)</f>
        <v>0</v>
      </c>
      <c r="N78" s="145">
        <f>VLOOKUP($B78,DATOS!$A$1:$N$114,13,FALSE)+VLOOKUP($A78,DATOS!$A$1:$N$114,13,FALSE)</f>
        <v>0</v>
      </c>
      <c r="O78" s="146">
        <f t="shared" ref="O78" si="44">IFERROR(N78/I78,0)</f>
        <v>0</v>
      </c>
      <c r="P78" s="204">
        <f t="shared" si="39"/>
        <v>8</v>
      </c>
      <c r="Q78" s="131"/>
      <c r="R78" s="131"/>
    </row>
    <row r="79" spans="1:18" ht="17.25" customHeight="1" x14ac:dyDescent="0.2">
      <c r="B79" s="163" t="s">
        <v>269</v>
      </c>
      <c r="C79" s="144" t="s">
        <v>268</v>
      </c>
      <c r="D79" s="145">
        <f>VLOOKUP($B79,DATOS!$A$1:$N$114,3,FALSE)</f>
        <v>0</v>
      </c>
      <c r="E79" s="145">
        <f>VLOOKUP($B79,DATOS!$A$1:$N$114,4,FALSE)</f>
        <v>0</v>
      </c>
      <c r="F79" s="145">
        <f>VLOOKUP($B79,DATOS!$A$1:$N$114,5,FALSE)</f>
        <v>0</v>
      </c>
      <c r="G79" s="145">
        <f t="shared" ref="G79" si="45">+D79+F79</f>
        <v>0</v>
      </c>
      <c r="H79" s="145">
        <f>VLOOKUP($B79,DATOS!$A$1:$N$114,7,FALSE)</f>
        <v>0</v>
      </c>
      <c r="I79" s="145">
        <f t="shared" ref="I79" si="46">+G79-H79</f>
        <v>0</v>
      </c>
      <c r="J79" s="145">
        <f>VLOOKUP($B79,DATOS!$A$1:$N$114,9,FALSE)</f>
        <v>0</v>
      </c>
      <c r="K79" s="145">
        <f>VLOOKUP($B79,DATOS!$A$1:$N$114,10,FALSE)</f>
        <v>0</v>
      </c>
      <c r="L79" s="146">
        <f t="shared" ref="L79" si="47">IFERROR(K79/I79,0)</f>
        <v>0</v>
      </c>
      <c r="M79" s="145">
        <f>VLOOKUP($B79,DATOS!$A$1:$N$114,12,FALSE)</f>
        <v>0</v>
      </c>
      <c r="N79" s="145">
        <f>VLOOKUP($B79,DATOS!$A$1:$N$114,13,FALSE)</f>
        <v>0</v>
      </c>
      <c r="O79" s="146">
        <f t="shared" ref="O79" si="48">IFERROR(N79/I79,0)</f>
        <v>0</v>
      </c>
      <c r="P79" s="204">
        <f t="shared" si="39"/>
        <v>8</v>
      </c>
      <c r="Q79" s="131"/>
      <c r="R79" s="131"/>
    </row>
    <row r="80" spans="1:18" s="119" customFormat="1" ht="17.25" customHeight="1" x14ac:dyDescent="0.2">
      <c r="B80" s="164" t="s">
        <v>90</v>
      </c>
      <c r="C80" s="157" t="s">
        <v>61</v>
      </c>
      <c r="D80" s="153">
        <f>SUM(D81:D85)</f>
        <v>307199645000</v>
      </c>
      <c r="E80" s="153">
        <f>SUM(E81:E85)</f>
        <v>0</v>
      </c>
      <c r="F80" s="153">
        <f>SUM(F81:F85)</f>
        <v>-47743786676</v>
      </c>
      <c r="G80" s="153">
        <f t="shared" si="15"/>
        <v>259455858324</v>
      </c>
      <c r="H80" s="153">
        <f>SUM(H81:H85)</f>
        <v>0</v>
      </c>
      <c r="I80" s="153">
        <f t="shared" si="16"/>
        <v>259455858324</v>
      </c>
      <c r="J80" s="153">
        <f>SUM(J81:J85)</f>
        <v>14710752649</v>
      </c>
      <c r="K80" s="153">
        <f>SUM(K81:K85)</f>
        <v>99789716997</v>
      </c>
      <c r="L80" s="154">
        <f t="shared" si="17"/>
        <v>0.38461153909419871</v>
      </c>
      <c r="M80" s="153">
        <f>SUM(M81:M85)</f>
        <v>8879876659</v>
      </c>
      <c r="N80" s="153">
        <f>SUM(N81:N85)</f>
        <v>60524256230</v>
      </c>
      <c r="O80" s="154">
        <f t="shared" si="18"/>
        <v>0.23327380858141691</v>
      </c>
      <c r="P80" s="204">
        <f t="shared" si="39"/>
        <v>6</v>
      </c>
      <c r="Q80" s="131"/>
      <c r="R80" s="131"/>
    </row>
    <row r="81" spans="1:18" ht="17.25" customHeight="1" x14ac:dyDescent="0.2">
      <c r="B81" s="163" t="s">
        <v>183</v>
      </c>
      <c r="C81" s="144" t="s">
        <v>184</v>
      </c>
      <c r="D81" s="145">
        <f>VLOOKUP($B81,DATOS!$A$1:$N$114,3,FALSE)</f>
        <v>36000000000</v>
      </c>
      <c r="E81" s="145">
        <f>VLOOKUP($B81,DATOS!$A$1:$N$114,4,FALSE)</f>
        <v>0</v>
      </c>
      <c r="F81" s="145">
        <f>VLOOKUP($B81,DATOS!$A$1:$N$114,5,FALSE)</f>
        <v>44548891</v>
      </c>
      <c r="G81" s="145">
        <f t="shared" si="15"/>
        <v>36044548891</v>
      </c>
      <c r="H81" s="145">
        <f>VLOOKUP($B81,DATOS!$A$1:$N$114,7,FALSE)</f>
        <v>0</v>
      </c>
      <c r="I81" s="145">
        <f t="shared" si="16"/>
        <v>36044548891</v>
      </c>
      <c r="J81" s="145">
        <f>VLOOKUP($B81,DATOS!$A$1:$N$114,9,FALSE)</f>
        <v>0</v>
      </c>
      <c r="K81" s="145">
        <f>VLOOKUP($B81,DATOS!$A$1:$N$114,10,FALSE)</f>
        <v>44548891</v>
      </c>
      <c r="L81" s="146">
        <f t="shared" si="17"/>
        <v>1.2359397570688825E-3</v>
      </c>
      <c r="M81" s="145">
        <f>VLOOKUP($B81,DATOS!$A$1:$N$114,12,FALSE)</f>
        <v>0</v>
      </c>
      <c r="N81" s="145">
        <f>VLOOKUP($B81,DATOS!$A$1:$N$114,13,FALSE)</f>
        <v>44548891</v>
      </c>
      <c r="O81" s="146">
        <f t="shared" si="18"/>
        <v>1.2359397570688825E-3</v>
      </c>
      <c r="P81" s="204">
        <f t="shared" si="39"/>
        <v>8</v>
      </c>
      <c r="Q81" s="131"/>
      <c r="R81" s="131"/>
    </row>
    <row r="82" spans="1:18" ht="17.25" customHeight="1" x14ac:dyDescent="0.25">
      <c r="A82" s="86" t="s">
        <v>242</v>
      </c>
      <c r="B82" s="163" t="s">
        <v>185</v>
      </c>
      <c r="C82" s="144" t="s">
        <v>186</v>
      </c>
      <c r="D82" s="145">
        <f>VLOOKUP($B82,DATOS!$A$1:$N$118,3,FALSE)</f>
        <v>20000000</v>
      </c>
      <c r="E82" s="145">
        <f>VLOOKUP($B82,DATOS!$A$1:$N$118,4,FALSE)</f>
        <v>0</v>
      </c>
      <c r="F82" s="145">
        <f>VLOOKUP($B82,DATOS!$A$1:$N$118,5,FALSE)</f>
        <v>54159580</v>
      </c>
      <c r="G82" s="150">
        <f t="shared" si="15"/>
        <v>74159580</v>
      </c>
      <c r="H82" s="145">
        <f>VLOOKUP($B82,DATOS!$A$1:$N$118,7,FALSE)</f>
        <v>0</v>
      </c>
      <c r="I82" s="150">
        <f t="shared" si="16"/>
        <v>74159580</v>
      </c>
      <c r="J82" s="145">
        <f>VLOOKUP($B82,DATOS!$A$1:$N$118,9,FALSE)</f>
        <v>0</v>
      </c>
      <c r="K82" s="145">
        <f>VLOOKUP($B82,DATOS!$A$1:$N$118,10,FALSE)</f>
        <v>35162822</v>
      </c>
      <c r="L82" s="151">
        <f t="shared" si="17"/>
        <v>0.47415077054104138</v>
      </c>
      <c r="M82" s="145">
        <f>VLOOKUP($B82,DATOS!$A$1:$N$118,12,FALSE)</f>
        <v>0</v>
      </c>
      <c r="N82" s="145">
        <f>VLOOKUP($B82,DATOS!$A$1:$N$118,13,FALSE)</f>
        <v>5928956</v>
      </c>
      <c r="O82" s="151">
        <f t="shared" si="18"/>
        <v>7.994861891073278E-2</v>
      </c>
      <c r="P82" s="204">
        <f t="shared" si="39"/>
        <v>8</v>
      </c>
      <c r="Q82" s="131"/>
      <c r="R82" s="131"/>
    </row>
    <row r="83" spans="1:18" ht="17.25" customHeight="1" x14ac:dyDescent="0.2">
      <c r="A83" s="86" t="s">
        <v>293</v>
      </c>
      <c r="B83" s="163" t="s">
        <v>313</v>
      </c>
      <c r="C83" s="144" t="s">
        <v>188</v>
      </c>
      <c r="D83" s="145">
        <f>VLOOKUP($B83,DATOS!$A$1:$N$118,3,FALSE)</f>
        <v>64045800</v>
      </c>
      <c r="E83" s="145">
        <f>VLOOKUP($B83,DATOS!$A$1:$N$114,4,FALSE)+VLOOKUP($A83,DATOS!$A$1:$N$114,4,FALSE)</f>
        <v>0</v>
      </c>
      <c r="F83" s="145">
        <f>VLOOKUP($B83,DATOS!$A$1:$N$114,5,FALSE)+VLOOKUP($A83,DATOS!$A$1:$N$114,5,FALSE)</f>
        <v>5065226287</v>
      </c>
      <c r="G83" s="145">
        <f t="shared" si="15"/>
        <v>5129272087</v>
      </c>
      <c r="H83" s="145">
        <f>VLOOKUP($B83,DATOS!$A$1:$N$114,7,FALSE)+VLOOKUP($A83,DATOS!$A$1:$N$114,7,FALSE)</f>
        <v>0</v>
      </c>
      <c r="I83" s="145">
        <f t="shared" si="16"/>
        <v>5129272087</v>
      </c>
      <c r="J83" s="145">
        <f>VLOOKUP($B83,DATOS!$A$1:$N$114,9,FALSE)+VLOOKUP($A83,DATOS!$A$1:$N$114,9,FALSE)</f>
        <v>69802873</v>
      </c>
      <c r="K83" s="145">
        <f>VLOOKUP($B83,DATOS!$A$1:$N$114,10,FALSE)+VLOOKUP($A83,DATOS!$A$1:$N$114,10,FALSE)</f>
        <v>4782751090</v>
      </c>
      <c r="L83" s="146">
        <f t="shared" si="17"/>
        <v>0.93244246140144371</v>
      </c>
      <c r="M83" s="145">
        <f>VLOOKUP($B83,DATOS!$A$1:$N$114,12,FALSE)+VLOOKUP($A83,DATOS!$A$1:$N$114,12,FALSE)</f>
        <v>755313414</v>
      </c>
      <c r="N83" s="145">
        <f>VLOOKUP($B83,DATOS!$A$1:$N$114,13,FALSE)+VLOOKUP($A83,DATOS!$A$1:$N$114,13,FALSE)</f>
        <v>2187504334</v>
      </c>
      <c r="O83" s="146">
        <f t="shared" si="18"/>
        <v>0.42647461411613746</v>
      </c>
      <c r="P83" s="204">
        <f t="shared" si="39"/>
        <v>9</v>
      </c>
      <c r="Q83" s="131"/>
      <c r="R83" s="131"/>
    </row>
    <row r="84" spans="1:18" ht="17.25" customHeight="1" x14ac:dyDescent="0.2">
      <c r="B84" s="163" t="s">
        <v>197</v>
      </c>
      <c r="C84" s="144" t="s">
        <v>234</v>
      </c>
      <c r="D84" s="145">
        <f>VLOOKUP($B84,DATOS!$A$1:$N$114,3,FALSE)</f>
        <v>271115599200</v>
      </c>
      <c r="E84" s="145">
        <f>VLOOKUP($B84,DATOS!$A$1:$N$114,4,FALSE)</f>
        <v>0</v>
      </c>
      <c r="F84" s="145">
        <f>VLOOKUP($B84,DATOS!$A$1:$N$114,5,FALSE)</f>
        <v>-52947721434</v>
      </c>
      <c r="G84" s="145">
        <f t="shared" si="15"/>
        <v>218167877766</v>
      </c>
      <c r="H84" s="145">
        <f>VLOOKUP($B84,DATOS!$A$1:$N$114,7,FALSE)</f>
        <v>0</v>
      </c>
      <c r="I84" s="145">
        <f t="shared" si="16"/>
        <v>218167877766</v>
      </c>
      <c r="J84" s="145">
        <f>VLOOKUP($B84,DATOS!$A$1:$N$114,9,FALSE)</f>
        <v>14640949776</v>
      </c>
      <c r="K84" s="145">
        <f>VLOOKUP($B84,DATOS!$A$1:$N$114,10,FALSE)</f>
        <v>94887610194</v>
      </c>
      <c r="L84" s="146">
        <f t="shared" si="17"/>
        <v>0.43492933591155647</v>
      </c>
      <c r="M84" s="145">
        <f>VLOOKUP($B84,DATOS!$A$1:$N$114,12,FALSE)</f>
        <v>8124563245</v>
      </c>
      <c r="N84" s="145">
        <f>VLOOKUP($B84,DATOS!$A$1:$N$114,13,FALSE)</f>
        <v>58265213871</v>
      </c>
      <c r="O84" s="146">
        <f t="shared" si="18"/>
        <v>0.26706596070707272</v>
      </c>
      <c r="P84" s="204">
        <f t="shared" si="39"/>
        <v>8</v>
      </c>
      <c r="Q84" s="131"/>
      <c r="R84" s="131"/>
    </row>
    <row r="85" spans="1:18" ht="17.25" customHeight="1" x14ac:dyDescent="0.2">
      <c r="B85" s="163" t="s">
        <v>192</v>
      </c>
      <c r="C85" s="144" t="s">
        <v>193</v>
      </c>
      <c r="D85" s="145">
        <f>VLOOKUP($B85,DATOS!$A$1:$N$114,3,FALSE)</f>
        <v>0</v>
      </c>
      <c r="E85" s="145">
        <f>VLOOKUP($B85,DATOS!$A$1:$N$114,4,FALSE)</f>
        <v>0</v>
      </c>
      <c r="F85" s="145">
        <f>VLOOKUP($B85,DATOS!$A$1:$N$114,5,FALSE)</f>
        <v>40000000</v>
      </c>
      <c r="G85" s="145">
        <f t="shared" si="15"/>
        <v>40000000</v>
      </c>
      <c r="H85" s="145">
        <f>VLOOKUP($B85,DATOS!$A$1:$N$114,7,FALSE)</f>
        <v>0</v>
      </c>
      <c r="I85" s="145">
        <f t="shared" si="16"/>
        <v>40000000</v>
      </c>
      <c r="J85" s="145">
        <f>VLOOKUP($B85,DATOS!$A$1:$N$114,9,FALSE)</f>
        <v>0</v>
      </c>
      <c r="K85" s="145">
        <f>VLOOKUP($B85,DATOS!$A$1:$N$114,10,FALSE)</f>
        <v>39644000</v>
      </c>
      <c r="L85" s="146">
        <f t="shared" si="17"/>
        <v>0.99109999999999998</v>
      </c>
      <c r="M85" s="145">
        <f>VLOOKUP($B85,DATOS!$A$1:$N$114,12,FALSE)</f>
        <v>0</v>
      </c>
      <c r="N85" s="145">
        <f>VLOOKUP($B85,DATOS!$A$1:$N$114,13,FALSE)</f>
        <v>21060178</v>
      </c>
      <c r="O85" s="146">
        <f t="shared" si="18"/>
        <v>0.52650445000000001</v>
      </c>
      <c r="P85" s="204">
        <f t="shared" si="39"/>
        <v>8</v>
      </c>
      <c r="Q85" s="131"/>
      <c r="R85" s="131"/>
    </row>
    <row r="86" spans="1:18" s="119" customFormat="1" ht="17.25" customHeight="1" x14ac:dyDescent="0.2">
      <c r="B86" s="172" t="s">
        <v>92</v>
      </c>
      <c r="C86" s="158" t="s">
        <v>104</v>
      </c>
      <c r="D86" s="159">
        <f>VLOOKUP($B86,DATOS!$A$1:$N$114,3,FALSE)</f>
        <v>124997973000</v>
      </c>
      <c r="E86" s="159">
        <f>VLOOKUP($B86,DATOS!$A$1:$N$114,4,FALSE)</f>
        <v>0</v>
      </c>
      <c r="F86" s="159">
        <f>VLOOKUP($B86,DATOS!$A$1:$N$114,5,FALSE)</f>
        <v>128246401511</v>
      </c>
      <c r="G86" s="159">
        <f t="shared" si="15"/>
        <v>253244374511</v>
      </c>
      <c r="H86" s="159">
        <f>VLOOKUP($B86,DATOS!$A$1:$N$114,7,FALSE)</f>
        <v>0</v>
      </c>
      <c r="I86" s="159">
        <f t="shared" si="16"/>
        <v>253244374511</v>
      </c>
      <c r="J86" s="159">
        <f>VLOOKUP($B86,DATOS!$A$1:$N$114,9,FALSE)</f>
        <v>0</v>
      </c>
      <c r="K86" s="159">
        <f>VLOOKUP($B86,DATOS!$A$1:$N$114,10,FALSE)</f>
        <v>0</v>
      </c>
      <c r="L86" s="160">
        <f t="shared" si="17"/>
        <v>0</v>
      </c>
      <c r="M86" s="159">
        <f>VLOOKUP($B86,DATOS!$A$1:$N$114,12,FALSE)</f>
        <v>0</v>
      </c>
      <c r="N86" s="159">
        <f>VLOOKUP($B86,DATOS!$A$1:$N$114,13,FALSE)</f>
        <v>0</v>
      </c>
      <c r="O86" s="160">
        <f t="shared" si="18"/>
        <v>0</v>
      </c>
      <c r="P86" s="204">
        <f t="shared" si="39"/>
        <v>2</v>
      </c>
      <c r="Q86" s="131"/>
      <c r="R86" s="131"/>
    </row>
    <row r="87" spans="1:18" s="119" customFormat="1" ht="17.25" customHeight="1" x14ac:dyDescent="0.2">
      <c r="B87" s="117"/>
      <c r="C87" s="121" t="s">
        <v>97</v>
      </c>
      <c r="D87" s="120">
        <f>D10+D86</f>
        <v>663476077000</v>
      </c>
      <c r="E87" s="120">
        <f>E10+E86</f>
        <v>0</v>
      </c>
      <c r="F87" s="120">
        <f>F10+F86</f>
        <v>199541810551</v>
      </c>
      <c r="G87" s="120">
        <f t="shared" si="15"/>
        <v>863017887551</v>
      </c>
      <c r="H87" s="120">
        <f>H10+H86</f>
        <v>0</v>
      </c>
      <c r="I87" s="120">
        <f t="shared" si="16"/>
        <v>863017887551</v>
      </c>
      <c r="J87" s="120">
        <f>J10+J86</f>
        <v>53272921733</v>
      </c>
      <c r="K87" s="120">
        <f>K10+K86</f>
        <v>421247738363</v>
      </c>
      <c r="L87" s="118">
        <f t="shared" si="17"/>
        <v>0.48811008953520257</v>
      </c>
      <c r="M87" s="120">
        <f>M10+M86</f>
        <v>36065865538</v>
      </c>
      <c r="N87" s="120">
        <f>N10+N86</f>
        <v>136158106773</v>
      </c>
      <c r="O87" s="118">
        <f t="shared" si="18"/>
        <v>0.15776973888615228</v>
      </c>
      <c r="P87" s="204">
        <f t="shared" si="39"/>
        <v>0</v>
      </c>
      <c r="Q87" s="131"/>
    </row>
    <row r="88" spans="1:18" x14ac:dyDescent="0.2">
      <c r="Q88" s="131"/>
    </row>
    <row r="89" spans="1:18" ht="84" customHeight="1" x14ac:dyDescent="0.2">
      <c r="Q89" s="131"/>
    </row>
    <row r="90" spans="1:18" ht="15" x14ac:dyDescent="0.25">
      <c r="C90" s="87"/>
      <c r="D90" s="122"/>
      <c r="E90" s="87"/>
      <c r="F90" s="122"/>
      <c r="G90" s="87"/>
      <c r="H90" s="122"/>
      <c r="I90" s="122"/>
      <c r="J90" s="123"/>
      <c r="K90" s="122"/>
      <c r="L90" s="124"/>
      <c r="M90" s="88"/>
      <c r="N90" s="122"/>
      <c r="Q90" s="131"/>
    </row>
    <row r="91" spans="1:18" ht="15.75" x14ac:dyDescent="0.25">
      <c r="C91" s="132" t="s">
        <v>245</v>
      </c>
      <c r="D91" s="122"/>
      <c r="E91" s="87"/>
      <c r="F91" s="122"/>
      <c r="H91" s="122"/>
      <c r="I91" s="122"/>
      <c r="J91" s="123"/>
      <c r="K91" s="122"/>
      <c r="L91" s="124"/>
      <c r="M91" s="132" t="s">
        <v>270</v>
      </c>
      <c r="N91" s="122"/>
      <c r="Q91" s="131"/>
    </row>
    <row r="92" spans="1:18" ht="15.75" x14ac:dyDescent="0.25">
      <c r="C92" s="133" t="s">
        <v>246</v>
      </c>
      <c r="D92" s="89"/>
      <c r="E92" s="87"/>
      <c r="F92" s="89"/>
      <c r="H92" s="122"/>
      <c r="I92" s="122"/>
      <c r="J92" s="88"/>
      <c r="K92" s="122"/>
      <c r="L92" s="124"/>
      <c r="M92" s="133" t="s">
        <v>271</v>
      </c>
      <c r="N92" s="122"/>
      <c r="Q92" s="131"/>
    </row>
    <row r="93" spans="1:18" x14ac:dyDescent="0.2">
      <c r="Q93" s="131"/>
    </row>
    <row r="94" spans="1:18" x14ac:dyDescent="0.2">
      <c r="Q94" s="131"/>
    </row>
    <row r="95" spans="1:18" x14ac:dyDescent="0.2">
      <c r="Q95" s="131"/>
    </row>
    <row r="96" spans="1:18" x14ac:dyDescent="0.2">
      <c r="Q96" s="131"/>
    </row>
    <row r="97" spans="17:17" x14ac:dyDescent="0.2">
      <c r="Q97" s="131"/>
    </row>
    <row r="98" spans="17:17" x14ac:dyDescent="0.2">
      <c r="Q98" s="131"/>
    </row>
    <row r="99" spans="17:17" x14ac:dyDescent="0.2">
      <c r="Q99" s="131"/>
    </row>
    <row r="100" spans="17:17" x14ac:dyDescent="0.2">
      <c r="Q100" s="131"/>
    </row>
    <row r="101" spans="17:17" x14ac:dyDescent="0.2">
      <c r="Q101" s="131"/>
    </row>
    <row r="102" spans="17:17" x14ac:dyDescent="0.2">
      <c r="Q102" s="131"/>
    </row>
    <row r="103" spans="17:17" x14ac:dyDescent="0.2">
      <c r="Q103" s="131"/>
    </row>
    <row r="104" spans="17:17" x14ac:dyDescent="0.2">
      <c r="Q104" s="131"/>
    </row>
    <row r="105" spans="17:17" x14ac:dyDescent="0.2">
      <c r="Q105" s="131"/>
    </row>
    <row r="106" spans="17:17" x14ac:dyDescent="0.2">
      <c r="Q106" s="131"/>
    </row>
    <row r="107" spans="17:17" x14ac:dyDescent="0.2">
      <c r="Q107" s="131"/>
    </row>
    <row r="108" spans="17:17" x14ac:dyDescent="0.2">
      <c r="Q108" s="131"/>
    </row>
    <row r="109" spans="17:17" x14ac:dyDescent="0.2">
      <c r="Q109" s="131"/>
    </row>
    <row r="110" spans="17:17" x14ac:dyDescent="0.2">
      <c r="Q110" s="131"/>
    </row>
    <row r="111" spans="17:17" x14ac:dyDescent="0.2">
      <c r="Q111" s="131"/>
    </row>
    <row r="112" spans="17:17" x14ac:dyDescent="0.2">
      <c r="Q112" s="131"/>
    </row>
    <row r="113" spans="17:17" x14ac:dyDescent="0.2">
      <c r="Q113" s="131"/>
    </row>
    <row r="114" spans="17:17" x14ac:dyDescent="0.2">
      <c r="Q114" s="131"/>
    </row>
    <row r="115" spans="17:17" x14ac:dyDescent="0.2">
      <c r="Q115" s="131"/>
    </row>
    <row r="116" spans="17:17" x14ac:dyDescent="0.2">
      <c r="Q116" s="131"/>
    </row>
  </sheetData>
  <autoFilter ref="B9:P87" xr:uid="{00000000-0001-0000-0000-000000000000}"/>
  <printOptions horizontalCentered="1"/>
  <pageMargins left="0.15748031496062992" right="0.15748031496062992" top="0.74803149606299213" bottom="0.51181102362204722" header="0.51181102362204722" footer="0.43307086614173229"/>
  <pageSetup paperSize="5" scale="5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 filterMode="1"/>
  <dimension ref="A1:AL133"/>
  <sheetViews>
    <sheetView zoomScaleNormal="100" workbookViewId="0">
      <pane xSplit="4" ySplit="9" topLeftCell="E69" activePane="bottomRight" state="frozen"/>
      <selection pane="topRight" activeCell="D1" sqref="D1"/>
      <selection pane="bottomLeft" activeCell="A10" sqref="A10"/>
      <selection pane="bottomRight" activeCell="A79" sqref="A79"/>
    </sheetView>
  </sheetViews>
  <sheetFormatPr baseColWidth="10" defaultColWidth="9.140625" defaultRowHeight="12" x14ac:dyDescent="0.2"/>
  <cols>
    <col min="1" max="1" width="9.140625" style="4" customWidth="1"/>
    <col min="2" max="2" width="9.140625" style="4" hidden="1" customWidth="1"/>
    <col min="3" max="3" width="26.42578125" style="4" customWidth="1"/>
    <col min="4" max="4" width="45.5703125" style="4" customWidth="1"/>
    <col min="5" max="5" width="17.28515625" style="4" bestFit="1" customWidth="1"/>
    <col min="6" max="6" width="17.85546875" style="4" bestFit="1" customWidth="1"/>
    <col min="7" max="7" width="16.85546875" style="4" bestFit="1" customWidth="1"/>
    <col min="8" max="8" width="21.42578125" style="4" customWidth="1"/>
    <col min="9" max="12" width="16.85546875" style="4" bestFit="1" customWidth="1"/>
    <col min="13" max="14" width="15.7109375" style="4" customWidth="1"/>
    <col min="15" max="15" width="16.85546875" style="4" bestFit="1" customWidth="1"/>
    <col min="16" max="16" width="15.7109375" style="4" customWidth="1"/>
    <col min="17" max="17" width="18.5703125" style="4" bestFit="1" customWidth="1"/>
    <col min="18" max="18" width="23.140625" style="4" customWidth="1"/>
    <col min="19" max="19" width="17.28515625" style="17" customWidth="1"/>
    <col min="20" max="20" width="17.28515625" style="4" customWidth="1"/>
    <col min="21" max="21" width="16.85546875" style="4" customWidth="1"/>
    <col min="22" max="22" width="18.42578125" style="4" bestFit="1" customWidth="1"/>
    <col min="23" max="23" width="19.5703125" style="4" customWidth="1"/>
    <col min="24" max="24" width="16.85546875" style="17" bestFit="1" customWidth="1"/>
    <col min="25" max="25" width="16.85546875" style="4" customWidth="1"/>
    <col min="26" max="26" width="15.7109375" style="4" customWidth="1"/>
    <col min="27" max="27" width="19.140625" style="4" customWidth="1"/>
    <col min="28" max="28" width="19.140625" style="17" bestFit="1" customWidth="1"/>
    <col min="29" max="29" width="15.7109375" style="4" customWidth="1"/>
    <col min="30" max="30" width="16.85546875" style="4" bestFit="1" customWidth="1"/>
    <col min="31" max="31" width="13.85546875" style="4" bestFit="1" customWidth="1"/>
    <col min="32" max="32" width="9.140625" style="4"/>
    <col min="33" max="34" width="14.7109375" style="4" bestFit="1" customWidth="1"/>
    <col min="35" max="35" width="16.85546875" style="4" customWidth="1"/>
    <col min="36" max="36" width="9.140625" style="4"/>
    <col min="37" max="38" width="16.42578125" style="4" bestFit="1" customWidth="1"/>
    <col min="39" max="16384" width="9.140625" style="4"/>
  </cols>
  <sheetData>
    <row r="1" spans="1:38" x14ac:dyDescent="0.2">
      <c r="C1" s="5"/>
      <c r="D1" s="6"/>
      <c r="E1" s="6"/>
      <c r="F1" s="6"/>
      <c r="G1" s="6"/>
      <c r="M1" s="7"/>
      <c r="P1" s="7"/>
      <c r="Q1" s="7"/>
      <c r="R1" s="7"/>
      <c r="S1" s="93"/>
      <c r="T1" s="7"/>
      <c r="U1" s="7"/>
      <c r="V1" s="7"/>
      <c r="W1" s="7"/>
      <c r="X1" s="93"/>
      <c r="Y1" s="7"/>
      <c r="Z1" s="7"/>
      <c r="AA1" s="7"/>
      <c r="AB1" s="93"/>
      <c r="AC1" s="7"/>
      <c r="AD1" s="7"/>
    </row>
    <row r="2" spans="1:38" x14ac:dyDescent="0.2">
      <c r="C2" s="8"/>
      <c r="D2" s="6"/>
      <c r="G2" s="9"/>
      <c r="H2" s="10" t="s">
        <v>105</v>
      </c>
      <c r="I2" s="9"/>
      <c r="J2" s="9"/>
      <c r="K2" s="9"/>
      <c r="L2" s="11"/>
      <c r="M2" s="12"/>
      <c r="N2" s="9"/>
      <c r="O2" s="9"/>
      <c r="P2" s="12"/>
      <c r="Q2" s="12"/>
      <c r="R2" s="12"/>
      <c r="S2" s="94"/>
      <c r="T2" s="12"/>
      <c r="U2" s="12"/>
      <c r="V2" s="12"/>
      <c r="W2" s="12"/>
      <c r="X2" s="94"/>
      <c r="Y2" s="12"/>
      <c r="Z2" s="12"/>
      <c r="AA2" s="12"/>
      <c r="AB2" s="94"/>
      <c r="AC2" s="12"/>
      <c r="AD2" s="12"/>
    </row>
    <row r="3" spans="1:38" x14ac:dyDescent="0.2">
      <c r="C3" s="8"/>
      <c r="D3" s="6"/>
      <c r="G3" s="13"/>
      <c r="H3" s="14"/>
      <c r="I3" s="13"/>
      <c r="J3" s="13"/>
      <c r="K3" s="13"/>
      <c r="L3" s="15"/>
      <c r="M3" s="16"/>
      <c r="N3" s="13"/>
      <c r="O3" s="13"/>
      <c r="P3" s="16"/>
      <c r="Q3" s="16"/>
      <c r="R3" s="16"/>
      <c r="S3" s="95"/>
      <c r="T3" s="16"/>
      <c r="U3" s="16"/>
      <c r="V3" s="16"/>
      <c r="W3" s="16"/>
      <c r="X3" s="95"/>
      <c r="Y3" s="16"/>
      <c r="Z3" s="16"/>
      <c r="AA3" s="16"/>
      <c r="AB3" s="95"/>
      <c r="AC3" s="16"/>
      <c r="AD3" s="16"/>
    </row>
    <row r="4" spans="1:38" x14ac:dyDescent="0.2">
      <c r="C4" s="8"/>
      <c r="D4" s="6"/>
      <c r="G4" s="13"/>
      <c r="H4" s="25" t="s">
        <v>237</v>
      </c>
      <c r="I4" s="13"/>
      <c r="J4" s="13"/>
      <c r="K4" s="13"/>
      <c r="L4" s="13"/>
      <c r="M4" s="16"/>
      <c r="N4" s="13"/>
      <c r="O4" s="13"/>
      <c r="P4" s="16"/>
      <c r="Q4" s="16"/>
      <c r="R4" s="16"/>
      <c r="S4" s="95"/>
      <c r="T4" s="16"/>
      <c r="U4" s="16"/>
      <c r="V4" s="16"/>
      <c r="W4" s="16"/>
      <c r="X4" s="95"/>
      <c r="Y4" s="16"/>
      <c r="Z4" s="16"/>
      <c r="AA4" s="16"/>
      <c r="AB4" s="95"/>
      <c r="AC4" s="16"/>
      <c r="AD4" s="16"/>
    </row>
    <row r="5" spans="1:38" x14ac:dyDescent="0.2">
      <c r="C5" s="17"/>
      <c r="D5" s="6"/>
      <c r="E5" s="13"/>
      <c r="F5" s="13"/>
      <c r="G5" s="13"/>
      <c r="H5" s="13"/>
      <c r="I5" s="13"/>
      <c r="J5" s="13"/>
      <c r="K5" s="13"/>
      <c r="L5" s="13"/>
      <c r="M5" s="16"/>
      <c r="N5" s="13"/>
      <c r="O5" s="13"/>
      <c r="P5" s="16"/>
      <c r="Q5" s="16"/>
      <c r="R5" s="16"/>
      <c r="S5" s="95"/>
      <c r="T5" s="16"/>
      <c r="U5" s="16"/>
      <c r="V5" s="16"/>
      <c r="W5" s="16"/>
      <c r="X5" s="95"/>
      <c r="Y5" s="16"/>
      <c r="Z5" s="27"/>
      <c r="AA5" s="16"/>
      <c r="AB5" s="95"/>
      <c r="AC5" s="16"/>
      <c r="AD5" s="16"/>
    </row>
    <row r="6" spans="1:38" x14ac:dyDescent="0.2">
      <c r="Z6" s="26"/>
    </row>
    <row r="7" spans="1:38" x14ac:dyDescent="0.2">
      <c r="L7" s="29">
        <v>5050018207</v>
      </c>
      <c r="M7" s="29">
        <f>+L7-L62</f>
        <v>-7928989007</v>
      </c>
      <c r="T7" s="20"/>
      <c r="V7" s="20"/>
    </row>
    <row r="8" spans="1:38" x14ac:dyDescent="0.2">
      <c r="L8" s="29"/>
      <c r="M8" s="29"/>
      <c r="T8" s="20"/>
      <c r="V8" s="20"/>
    </row>
    <row r="9" spans="1:38" s="18" customFormat="1" ht="57.75" customHeight="1" x14ac:dyDescent="0.2">
      <c r="C9" s="65" t="s">
        <v>0</v>
      </c>
      <c r="D9" s="65" t="s">
        <v>106</v>
      </c>
      <c r="E9" s="65" t="s">
        <v>1</v>
      </c>
      <c r="F9" s="65" t="s">
        <v>2</v>
      </c>
      <c r="G9" s="65" t="s">
        <v>3</v>
      </c>
      <c r="H9" s="65" t="s">
        <v>107</v>
      </c>
      <c r="I9" s="65" t="s">
        <v>5</v>
      </c>
      <c r="J9" s="65" t="s">
        <v>108</v>
      </c>
      <c r="K9" s="65" t="s">
        <v>7</v>
      </c>
      <c r="L9" s="65" t="s">
        <v>8</v>
      </c>
      <c r="M9" s="65" t="s">
        <v>109</v>
      </c>
      <c r="N9" s="65" t="s">
        <v>10</v>
      </c>
      <c r="O9" s="65" t="s">
        <v>11</v>
      </c>
      <c r="P9" s="65" t="s">
        <v>12</v>
      </c>
      <c r="Q9" s="19" t="s">
        <v>117</v>
      </c>
      <c r="R9" s="19" t="s">
        <v>125</v>
      </c>
      <c r="S9" s="96" t="s">
        <v>118</v>
      </c>
      <c r="T9" s="19" t="s">
        <v>116</v>
      </c>
      <c r="U9" s="19"/>
      <c r="V9" s="19" t="s">
        <v>122</v>
      </c>
      <c r="W9" s="19" t="s">
        <v>126</v>
      </c>
      <c r="X9" s="96" t="s">
        <v>127</v>
      </c>
      <c r="Y9" s="19" t="s">
        <v>115</v>
      </c>
      <c r="Z9" s="19" t="s">
        <v>129</v>
      </c>
      <c r="AA9" s="19" t="s">
        <v>128</v>
      </c>
      <c r="AB9" s="96" t="s">
        <v>130</v>
      </c>
      <c r="AC9" s="19" t="s">
        <v>114</v>
      </c>
      <c r="AD9" s="19" t="s">
        <v>113</v>
      </c>
      <c r="AG9" s="18" t="s">
        <v>314</v>
      </c>
      <c r="AH9" s="18" t="s">
        <v>315</v>
      </c>
      <c r="AI9" s="18" t="s">
        <v>316</v>
      </c>
    </row>
    <row r="10" spans="1:38" hidden="1" x14ac:dyDescent="0.2">
      <c r="A10" s="4" t="s">
        <v>110</v>
      </c>
      <c r="C10" s="59" t="s">
        <v>15</v>
      </c>
      <c r="D10" s="57" t="s">
        <v>13</v>
      </c>
      <c r="E10" s="60">
        <f>E11+E80+E100</f>
        <v>538478104000</v>
      </c>
      <c r="F10" s="60">
        <f>F11+F80+F100</f>
        <v>0</v>
      </c>
      <c r="G10" s="60">
        <f>G11+G80+G100</f>
        <v>71295409040</v>
      </c>
      <c r="H10" s="60">
        <f>E10+G10</f>
        <v>609773513040</v>
      </c>
      <c r="I10" s="60">
        <f>I11+I80+I100</f>
        <v>0</v>
      </c>
      <c r="J10" s="60">
        <f>H10-I10</f>
        <v>609773513040</v>
      </c>
      <c r="K10" s="60">
        <f>K11+K80+K100</f>
        <v>53272921733</v>
      </c>
      <c r="L10" s="60">
        <f>L11+L80+L100</f>
        <v>421183692563</v>
      </c>
      <c r="M10" s="61">
        <f>IFERROR(L10/J10,0)</f>
        <v>0.6907215278394212</v>
      </c>
      <c r="N10" s="60">
        <f>N11+N80+N100</f>
        <v>36065865538</v>
      </c>
      <c r="O10" s="60">
        <f>O11+O80+O100</f>
        <v>136158106773</v>
      </c>
      <c r="P10" s="61">
        <f>IFERROR(O10/J10,0)</f>
        <v>0.22329291755260003</v>
      </c>
      <c r="Q10" s="84">
        <f>SUM(R10:S10)</f>
        <v>421183692563</v>
      </c>
      <c r="R10" s="84">
        <f>R11+R80+R100</f>
        <v>403641010301</v>
      </c>
      <c r="S10" s="74">
        <f>S11+S80+S100</f>
        <v>17542682262</v>
      </c>
      <c r="T10" s="84">
        <f>T11+T80+T100</f>
        <v>0</v>
      </c>
      <c r="U10" s="84">
        <f>U11+U80+U100</f>
        <v>0</v>
      </c>
      <c r="V10" s="84">
        <f t="shared" ref="V10:V15" si="0">SUM(W10:X10)</f>
        <v>421183692563</v>
      </c>
      <c r="W10" s="74">
        <f>W11+W80+W100</f>
        <v>367910770830</v>
      </c>
      <c r="X10" s="74">
        <f>X11+X80+X100</f>
        <v>53272921733</v>
      </c>
      <c r="Y10" s="74">
        <f t="shared" ref="Y10:Y76" si="1">+L10-V10</f>
        <v>0</v>
      </c>
      <c r="Z10" s="84">
        <f>SUM(AA10:AB10)</f>
        <v>136158106773</v>
      </c>
      <c r="AA10" s="84">
        <f>AA11+AA80+AA100</f>
        <v>100092241235</v>
      </c>
      <c r="AB10" s="84">
        <f>AB11+AB80+AB100</f>
        <v>36065865538</v>
      </c>
      <c r="AC10" s="84">
        <f t="shared" ref="AC10:AC76" si="2">+O10-Z10</f>
        <v>0</v>
      </c>
      <c r="AD10" s="84">
        <f>AD11+AD80+AD100</f>
        <v>285025585790</v>
      </c>
      <c r="AE10" s="29">
        <f>LEN(C10)</f>
        <v>2</v>
      </c>
      <c r="AG10" s="29">
        <v>403641010301</v>
      </c>
      <c r="AH10" s="29">
        <v>367910770830</v>
      </c>
      <c r="AI10" s="29">
        <v>100092241235</v>
      </c>
      <c r="AK10" s="168">
        <f>IF(SUM(S10,X10,AB10)&gt;0,1,0)</f>
        <v>1</v>
      </c>
    </row>
    <row r="11" spans="1:38" hidden="1" x14ac:dyDescent="0.2">
      <c r="B11" s="4" t="str">
        <f t="shared" ref="B11:B74" si="3">IF(C11&gt;2,IF(MID(C11,1,3)="421","FUNCIONAMIENTO",IF(MID(C11,1,3)="423","INVERSION","COMERCIAL")))</f>
        <v>FUNCIONAMIENTO</v>
      </c>
      <c r="C11" s="59" t="s">
        <v>16</v>
      </c>
      <c r="D11" s="57" t="s">
        <v>17</v>
      </c>
      <c r="E11" s="60">
        <f>+E12+E43+E71+E75</f>
        <v>53905326000</v>
      </c>
      <c r="F11" s="60">
        <f t="shared" ref="F11:O11" si="4">+F12+F43+F71+F75</f>
        <v>0</v>
      </c>
      <c r="G11" s="60">
        <f t="shared" si="4"/>
        <v>5016244607</v>
      </c>
      <c r="H11" s="60">
        <f t="shared" ref="H11:H76" si="5">E11+G11</f>
        <v>58921570607</v>
      </c>
      <c r="I11" s="60">
        <f t="shared" si="4"/>
        <v>0</v>
      </c>
      <c r="J11" s="60">
        <f t="shared" ref="J11:J76" si="6">H11-I11</f>
        <v>58921570607</v>
      </c>
      <c r="K11" s="60">
        <f t="shared" si="4"/>
        <v>5280132969</v>
      </c>
      <c r="L11" s="60">
        <f t="shared" si="4"/>
        <v>44074969660</v>
      </c>
      <c r="M11" s="61">
        <f t="shared" ref="M11:M74" si="7">IFERROR(L11/J11,0)</f>
        <v>0.74802774613689282</v>
      </c>
      <c r="N11" s="60">
        <f t="shared" si="4"/>
        <v>4069042587</v>
      </c>
      <c r="O11" s="60">
        <f t="shared" si="4"/>
        <v>37540999537</v>
      </c>
      <c r="P11" s="61">
        <f t="shared" ref="P11:P74" si="8">IFERROR(O11/J11,0)</f>
        <v>0.63713507888976828</v>
      </c>
      <c r="Q11" s="74">
        <f t="shared" ref="Q11:Q77" si="9">SUM(R11:S11)</f>
        <v>44074969660</v>
      </c>
      <c r="R11" s="74">
        <f t="shared" ref="R11:AD11" si="10">+R12+R43+R71+R75</f>
        <v>50822691057</v>
      </c>
      <c r="S11" s="74">
        <f t="shared" si="10"/>
        <v>-6747721397</v>
      </c>
      <c r="T11" s="74">
        <f t="shared" si="10"/>
        <v>0</v>
      </c>
      <c r="U11" s="74">
        <f t="shared" si="10"/>
        <v>0</v>
      </c>
      <c r="V11" s="74">
        <f t="shared" si="0"/>
        <v>44074969660</v>
      </c>
      <c r="W11" s="74">
        <f t="shared" si="10"/>
        <v>38794836691</v>
      </c>
      <c r="X11" s="74">
        <f t="shared" si="10"/>
        <v>5280132969</v>
      </c>
      <c r="Y11" s="74">
        <f t="shared" si="1"/>
        <v>0</v>
      </c>
      <c r="Z11" s="74">
        <f t="shared" ref="Z11:Z76" si="11">SUM(AA11:AB11)</f>
        <v>37540999537</v>
      </c>
      <c r="AA11" s="74">
        <f t="shared" si="10"/>
        <v>33471956950</v>
      </c>
      <c r="AB11" s="74">
        <f>+AB12+AB43+AB71+AB75</f>
        <v>4069042587</v>
      </c>
      <c r="AC11" s="74">
        <f t="shared" si="2"/>
        <v>0</v>
      </c>
      <c r="AD11" s="74">
        <f t="shared" si="10"/>
        <v>6533970123</v>
      </c>
      <c r="AE11" s="29">
        <f t="shared" ref="AE11:AE76" si="12">LEN(C11)</f>
        <v>3</v>
      </c>
      <c r="AG11" s="29">
        <v>50822691057</v>
      </c>
      <c r="AH11" s="29">
        <v>38794836691</v>
      </c>
      <c r="AI11" s="29">
        <v>33471956950</v>
      </c>
      <c r="AK11" s="168">
        <f t="shared" ref="AK11:AK74" si="13">IF(SUM(S11,X11,AB11)&gt;0,1,0)</f>
        <v>1</v>
      </c>
    </row>
    <row r="12" spans="1:38" hidden="1" x14ac:dyDescent="0.2">
      <c r="B12" s="4" t="str">
        <f t="shared" si="3"/>
        <v>FUNCIONAMIENTO</v>
      </c>
      <c r="C12" s="59" t="s">
        <v>18</v>
      </c>
      <c r="D12" s="57" t="s">
        <v>19</v>
      </c>
      <c r="E12" s="60">
        <f>+E13</f>
        <v>19490091000</v>
      </c>
      <c r="F12" s="60">
        <f t="shared" ref="F12:O12" si="14">+F13</f>
        <v>0</v>
      </c>
      <c r="G12" s="60">
        <f t="shared" si="14"/>
        <v>-627732527</v>
      </c>
      <c r="H12" s="60">
        <f t="shared" si="5"/>
        <v>18862358473</v>
      </c>
      <c r="I12" s="60">
        <f t="shared" si="14"/>
        <v>0</v>
      </c>
      <c r="J12" s="60">
        <f t="shared" si="6"/>
        <v>18862358473</v>
      </c>
      <c r="K12" s="60">
        <f t="shared" si="14"/>
        <v>3101563441</v>
      </c>
      <c r="L12" s="60">
        <f t="shared" si="14"/>
        <v>17848373169</v>
      </c>
      <c r="M12" s="61">
        <f t="shared" si="7"/>
        <v>0.94624292049949954</v>
      </c>
      <c r="N12" s="60">
        <f t="shared" si="14"/>
        <v>2093629063</v>
      </c>
      <c r="O12" s="60">
        <f t="shared" si="14"/>
        <v>16824125887</v>
      </c>
      <c r="P12" s="61">
        <f t="shared" si="8"/>
        <v>0.89194179567112075</v>
      </c>
      <c r="Q12" s="74">
        <f t="shared" si="9"/>
        <v>17848373169</v>
      </c>
      <c r="R12" s="74">
        <f t="shared" ref="R12:AD12" si="15">+R13</f>
        <v>14746809728</v>
      </c>
      <c r="S12" s="74">
        <f t="shared" si="15"/>
        <v>3101563441</v>
      </c>
      <c r="T12" s="74">
        <f t="shared" si="15"/>
        <v>0</v>
      </c>
      <c r="U12" s="74">
        <f t="shared" si="15"/>
        <v>0</v>
      </c>
      <c r="V12" s="74">
        <f t="shared" si="0"/>
        <v>17848373169</v>
      </c>
      <c r="W12" s="74">
        <f t="shared" si="15"/>
        <v>14746809728</v>
      </c>
      <c r="X12" s="74">
        <f t="shared" si="15"/>
        <v>3101563441</v>
      </c>
      <c r="Y12" s="74">
        <f t="shared" si="1"/>
        <v>0</v>
      </c>
      <c r="Z12" s="74">
        <f t="shared" si="11"/>
        <v>16824125887</v>
      </c>
      <c r="AA12" s="74">
        <f t="shared" si="15"/>
        <v>14730496824</v>
      </c>
      <c r="AB12" s="74">
        <f t="shared" si="15"/>
        <v>2093629063</v>
      </c>
      <c r="AC12" s="74">
        <f t="shared" si="2"/>
        <v>0</v>
      </c>
      <c r="AD12" s="74">
        <f t="shared" si="15"/>
        <v>1024247282</v>
      </c>
      <c r="AE12" s="29">
        <f t="shared" si="12"/>
        <v>4</v>
      </c>
      <c r="AG12" s="29">
        <v>14746809728</v>
      </c>
      <c r="AH12" s="29">
        <v>14746809728</v>
      </c>
      <c r="AI12" s="29">
        <v>14730496824</v>
      </c>
      <c r="AK12" s="168">
        <f t="shared" si="13"/>
        <v>1</v>
      </c>
    </row>
    <row r="13" spans="1:38" hidden="1" x14ac:dyDescent="0.2">
      <c r="B13" s="4" t="str">
        <f t="shared" si="3"/>
        <v>FUNCIONAMIENTO</v>
      </c>
      <c r="C13" s="59" t="s">
        <v>20</v>
      </c>
      <c r="D13" s="57" t="s">
        <v>21</v>
      </c>
      <c r="E13" s="60">
        <f>+E14+E27+E37</f>
        <v>19490091000</v>
      </c>
      <c r="F13" s="60">
        <f t="shared" ref="F13:O13" si="16">+F14+F27+F37</f>
        <v>0</v>
      </c>
      <c r="G13" s="60">
        <f t="shared" si="16"/>
        <v>-627732527</v>
      </c>
      <c r="H13" s="60">
        <f t="shared" si="5"/>
        <v>18862358473</v>
      </c>
      <c r="I13" s="60">
        <f t="shared" si="16"/>
        <v>0</v>
      </c>
      <c r="J13" s="60">
        <f t="shared" si="6"/>
        <v>18862358473</v>
      </c>
      <c r="K13" s="60">
        <f t="shared" si="16"/>
        <v>3101563441</v>
      </c>
      <c r="L13" s="60">
        <f t="shared" si="16"/>
        <v>17848373169</v>
      </c>
      <c r="M13" s="61">
        <f t="shared" si="7"/>
        <v>0.94624292049949954</v>
      </c>
      <c r="N13" s="60">
        <f t="shared" si="16"/>
        <v>2093629063</v>
      </c>
      <c r="O13" s="60">
        <f t="shared" si="16"/>
        <v>16824125887</v>
      </c>
      <c r="P13" s="61">
        <f t="shared" si="8"/>
        <v>0.89194179567112075</v>
      </c>
      <c r="Q13" s="74">
        <f t="shared" si="9"/>
        <v>17848373169</v>
      </c>
      <c r="R13" s="74">
        <f t="shared" ref="R13:AD13" si="17">+R14+R27+R37</f>
        <v>14746809728</v>
      </c>
      <c r="S13" s="74">
        <f t="shared" si="17"/>
        <v>3101563441</v>
      </c>
      <c r="T13" s="74">
        <f t="shared" si="17"/>
        <v>0</v>
      </c>
      <c r="U13" s="74">
        <f t="shared" si="17"/>
        <v>0</v>
      </c>
      <c r="V13" s="74">
        <f t="shared" si="0"/>
        <v>17848373169</v>
      </c>
      <c r="W13" s="74">
        <f t="shared" si="17"/>
        <v>14746809728</v>
      </c>
      <c r="X13" s="74">
        <f t="shared" si="17"/>
        <v>3101563441</v>
      </c>
      <c r="Y13" s="74">
        <f t="shared" si="1"/>
        <v>0</v>
      </c>
      <c r="Z13" s="74">
        <f t="shared" si="11"/>
        <v>16824125887</v>
      </c>
      <c r="AA13" s="74">
        <f t="shared" si="17"/>
        <v>14730496824</v>
      </c>
      <c r="AB13" s="74">
        <f>+AB14+AB27+AB37</f>
        <v>2093629063</v>
      </c>
      <c r="AC13" s="74">
        <f t="shared" si="2"/>
        <v>0</v>
      </c>
      <c r="AD13" s="74">
        <f t="shared" si="17"/>
        <v>1024247282</v>
      </c>
      <c r="AE13" s="29">
        <f t="shared" si="12"/>
        <v>6</v>
      </c>
      <c r="AG13" s="29">
        <v>14746809728</v>
      </c>
      <c r="AH13" s="29">
        <v>14746809728</v>
      </c>
      <c r="AI13" s="29">
        <v>14730496824</v>
      </c>
      <c r="AK13" s="168">
        <f t="shared" si="13"/>
        <v>1</v>
      </c>
    </row>
    <row r="14" spans="1:38" hidden="1" x14ac:dyDescent="0.2">
      <c r="B14" s="4" t="str">
        <f t="shared" si="3"/>
        <v>FUNCIONAMIENTO</v>
      </c>
      <c r="C14" s="59" t="s">
        <v>22</v>
      </c>
      <c r="D14" s="58" t="s">
        <v>99</v>
      </c>
      <c r="E14" s="60">
        <f>+E15</f>
        <v>13066324000</v>
      </c>
      <c r="F14" s="60">
        <f t="shared" ref="F14:O14" si="18">+F15</f>
        <v>0</v>
      </c>
      <c r="G14" s="60">
        <f t="shared" si="18"/>
        <v>192000000</v>
      </c>
      <c r="H14" s="60">
        <f t="shared" si="5"/>
        <v>13258324000</v>
      </c>
      <c r="I14" s="60">
        <f t="shared" si="18"/>
        <v>0</v>
      </c>
      <c r="J14" s="60">
        <f t="shared" si="6"/>
        <v>13258324000</v>
      </c>
      <c r="K14" s="60">
        <f t="shared" si="18"/>
        <v>1836345816</v>
      </c>
      <c r="L14" s="60">
        <f t="shared" si="18"/>
        <v>12768909403</v>
      </c>
      <c r="M14" s="61">
        <f t="shared" si="7"/>
        <v>0.96308623948245642</v>
      </c>
      <c r="N14" s="60">
        <f t="shared" si="18"/>
        <v>1852658720</v>
      </c>
      <c r="O14" s="60">
        <f t="shared" si="18"/>
        <v>12768909403</v>
      </c>
      <c r="P14" s="61">
        <f t="shared" si="8"/>
        <v>0.96308623948245642</v>
      </c>
      <c r="Q14" s="74">
        <f t="shared" si="9"/>
        <v>12768909403</v>
      </c>
      <c r="R14" s="74">
        <f t="shared" ref="R14:AD14" si="19">+R15</f>
        <v>10932563587</v>
      </c>
      <c r="S14" s="74">
        <f t="shared" si="19"/>
        <v>1836345816</v>
      </c>
      <c r="T14" s="74">
        <f t="shared" si="19"/>
        <v>0</v>
      </c>
      <c r="U14" s="74">
        <f t="shared" si="19"/>
        <v>0</v>
      </c>
      <c r="V14" s="74">
        <f t="shared" si="0"/>
        <v>12768909403</v>
      </c>
      <c r="W14" s="74">
        <f t="shared" si="19"/>
        <v>10932563587</v>
      </c>
      <c r="X14" s="74">
        <f t="shared" si="19"/>
        <v>1836345816</v>
      </c>
      <c r="Y14" s="74">
        <f t="shared" si="1"/>
        <v>0</v>
      </c>
      <c r="Z14" s="74">
        <f t="shared" si="11"/>
        <v>12768909403</v>
      </c>
      <c r="AA14" s="74">
        <f t="shared" si="19"/>
        <v>10916250683</v>
      </c>
      <c r="AB14" s="74">
        <f t="shared" si="19"/>
        <v>1852658720</v>
      </c>
      <c r="AC14" s="74">
        <f t="shared" si="2"/>
        <v>0</v>
      </c>
      <c r="AD14" s="74">
        <f t="shared" si="19"/>
        <v>0</v>
      </c>
      <c r="AE14" s="29">
        <f t="shared" si="12"/>
        <v>8</v>
      </c>
      <c r="AG14" s="29">
        <v>10932563587</v>
      </c>
      <c r="AH14" s="29">
        <v>10932563587</v>
      </c>
      <c r="AI14" s="29">
        <v>10916250683</v>
      </c>
      <c r="AK14" s="168">
        <f t="shared" si="13"/>
        <v>1</v>
      </c>
    </row>
    <row r="15" spans="1:38" hidden="1" x14ac:dyDescent="0.2">
      <c r="B15" s="4" t="str">
        <f t="shared" si="3"/>
        <v>FUNCIONAMIENTO</v>
      </c>
      <c r="C15" s="59" t="s">
        <v>23</v>
      </c>
      <c r="D15" s="57" t="s">
        <v>24</v>
      </c>
      <c r="E15" s="60">
        <f>+SUM(E16:E23)+E26</f>
        <v>13066324000</v>
      </c>
      <c r="F15" s="60">
        <f t="shared" ref="F15:O15" si="20">+SUM(F16:F23)+F26</f>
        <v>0</v>
      </c>
      <c r="G15" s="60">
        <f t="shared" si="20"/>
        <v>192000000</v>
      </c>
      <c r="H15" s="60">
        <f t="shared" si="5"/>
        <v>13258324000</v>
      </c>
      <c r="I15" s="60">
        <f t="shared" si="20"/>
        <v>0</v>
      </c>
      <c r="J15" s="60">
        <f t="shared" si="6"/>
        <v>13258324000</v>
      </c>
      <c r="K15" s="60">
        <f t="shared" si="20"/>
        <v>1836345816</v>
      </c>
      <c r="L15" s="60">
        <f t="shared" si="20"/>
        <v>12768909403</v>
      </c>
      <c r="M15" s="61">
        <f t="shared" si="7"/>
        <v>0.96308623948245642</v>
      </c>
      <c r="N15" s="60">
        <f t="shared" si="20"/>
        <v>1852658720</v>
      </c>
      <c r="O15" s="60">
        <f t="shared" si="20"/>
        <v>12768909403</v>
      </c>
      <c r="P15" s="61">
        <f t="shared" si="8"/>
        <v>0.96308623948245642</v>
      </c>
      <c r="Q15" s="74">
        <f t="shared" si="9"/>
        <v>12768909403</v>
      </c>
      <c r="R15" s="74">
        <f t="shared" ref="R15:AD15" si="21">+SUM(R16:R23)+R26</f>
        <v>10932563587</v>
      </c>
      <c r="S15" s="74">
        <f t="shared" si="21"/>
        <v>1836345816</v>
      </c>
      <c r="T15" s="74">
        <f t="shared" si="21"/>
        <v>0</v>
      </c>
      <c r="U15" s="74">
        <f t="shared" si="21"/>
        <v>0</v>
      </c>
      <c r="V15" s="74">
        <f t="shared" si="0"/>
        <v>12768909403</v>
      </c>
      <c r="W15" s="74">
        <f t="shared" si="21"/>
        <v>10932563587</v>
      </c>
      <c r="X15" s="74">
        <f t="shared" si="21"/>
        <v>1836345816</v>
      </c>
      <c r="Y15" s="74">
        <f t="shared" si="1"/>
        <v>0</v>
      </c>
      <c r="Z15" s="74">
        <f t="shared" si="11"/>
        <v>12768909403</v>
      </c>
      <c r="AA15" s="74">
        <f t="shared" si="21"/>
        <v>10916250683</v>
      </c>
      <c r="AB15" s="74">
        <f>+SUM(AB16:AB23)+AB26</f>
        <v>1852658720</v>
      </c>
      <c r="AC15" s="74">
        <f t="shared" si="2"/>
        <v>0</v>
      </c>
      <c r="AD15" s="74">
        <f t="shared" si="21"/>
        <v>0</v>
      </c>
      <c r="AE15" s="29">
        <f t="shared" si="12"/>
        <v>11</v>
      </c>
      <c r="AG15" s="29">
        <v>10932563587</v>
      </c>
      <c r="AH15" s="29">
        <v>10932563587</v>
      </c>
      <c r="AI15" s="29">
        <v>10916250683</v>
      </c>
      <c r="AK15" s="168">
        <f t="shared" si="13"/>
        <v>1</v>
      </c>
    </row>
    <row r="16" spans="1:38" x14ac:dyDescent="0.2">
      <c r="A16" s="77" t="s">
        <v>111</v>
      </c>
      <c r="B16" s="77" t="str">
        <f t="shared" si="3"/>
        <v>FUNCIONAMIENTO</v>
      </c>
      <c r="C16" s="78" t="s">
        <v>25</v>
      </c>
      <c r="D16" s="83" t="s">
        <v>133</v>
      </c>
      <c r="E16" s="79">
        <f>VLOOKUP($C16,DATOS!$A$1:$O$1101,3,FALSE)</f>
        <v>7646585000</v>
      </c>
      <c r="F16" s="191">
        <f>VLOOKUP($C16,DATOS!$A$1:$O$1101,4,FALSE)</f>
        <v>0</v>
      </c>
      <c r="G16" s="79">
        <f>VLOOKUP($C16,DATOS!$A$1:$O$1101,5,FALSE)</f>
        <v>37000000</v>
      </c>
      <c r="H16" s="79">
        <f t="shared" si="5"/>
        <v>7683585000</v>
      </c>
      <c r="I16" s="79">
        <f>VLOOKUP($C16,DATOS!$A$1:$O$1101,7,FALSE)</f>
        <v>0</v>
      </c>
      <c r="J16" s="79">
        <f t="shared" si="6"/>
        <v>7683585000</v>
      </c>
      <c r="K16" s="79">
        <f>VLOOKUP($C16,DATOS!$A$1:$O$1101,9,FALSE)</f>
        <v>643362431</v>
      </c>
      <c r="L16" s="79">
        <f>VLOOKUP($C16,DATOS!$A$1:$O$1101,10,FALSE)</f>
        <v>7653374087</v>
      </c>
      <c r="M16" s="80">
        <f t="shared" si="7"/>
        <v>0.99606812275780121</v>
      </c>
      <c r="N16" s="79">
        <f>VLOOKUP($C16,DATOS!$A$1:$O$1101,12,FALSE)</f>
        <v>659675335</v>
      </c>
      <c r="O16" s="79">
        <f>VLOOKUP($C16,DATOS!$A$1:$O$1101,13,FALSE)</f>
        <v>7653374087</v>
      </c>
      <c r="P16" s="80">
        <f t="shared" si="8"/>
        <v>0.99606812275780121</v>
      </c>
      <c r="Q16" s="81">
        <f t="shared" si="9"/>
        <v>7653374087</v>
      </c>
      <c r="R16" s="81">
        <f>AG16</f>
        <v>7010011656</v>
      </c>
      <c r="S16" s="97">
        <v>643362431</v>
      </c>
      <c r="T16" s="81">
        <f>+Q16-L16</f>
        <v>0</v>
      </c>
      <c r="U16" s="81">
        <f t="shared" ref="U16:U38" si="22">+V16-L16</f>
        <v>0</v>
      </c>
      <c r="V16" s="81">
        <f>SUM(W16:X16)</f>
        <v>7653374087</v>
      </c>
      <c r="W16" s="81">
        <f>AH16</f>
        <v>7010011656</v>
      </c>
      <c r="X16" s="97">
        <v>643362431</v>
      </c>
      <c r="Y16" s="81">
        <f>+L16-V16</f>
        <v>0</v>
      </c>
      <c r="Z16" s="81">
        <f t="shared" si="11"/>
        <v>7653374087</v>
      </c>
      <c r="AA16" s="81">
        <f>AI16</f>
        <v>6993698752</v>
      </c>
      <c r="AB16" s="97">
        <v>659675335</v>
      </c>
      <c r="AC16" s="81">
        <f>+O16-Z16</f>
        <v>0</v>
      </c>
      <c r="AD16" s="81">
        <f t="shared" ref="AD16:AD38" si="23">+L16-O16</f>
        <v>0</v>
      </c>
      <c r="AE16" s="29">
        <f t="shared" si="12"/>
        <v>13</v>
      </c>
      <c r="AG16" s="29">
        <v>7010011656</v>
      </c>
      <c r="AH16" s="29">
        <v>7010011656</v>
      </c>
      <c r="AI16" s="29">
        <v>6993698752</v>
      </c>
      <c r="AK16" s="168">
        <f t="shared" si="13"/>
        <v>1</v>
      </c>
      <c r="AL16" s="168"/>
    </row>
    <row r="17" spans="1:38" ht="24" x14ac:dyDescent="0.2">
      <c r="A17" s="77" t="s">
        <v>111</v>
      </c>
      <c r="B17" s="77" t="str">
        <f t="shared" si="3"/>
        <v>FUNCIONAMIENTO</v>
      </c>
      <c r="C17" s="78" t="s">
        <v>26</v>
      </c>
      <c r="D17" s="82" t="s">
        <v>134</v>
      </c>
      <c r="E17" s="79">
        <f>VLOOKUP($C17,DATOS!$A$1:$O$1101,3,FALSE)</f>
        <v>340595000</v>
      </c>
      <c r="F17" s="191">
        <f>VLOOKUP($C17,DATOS!$A$1:$O$1101,4,FALSE)</f>
        <v>0</v>
      </c>
      <c r="G17" s="79">
        <f>VLOOKUP($C17,DATOS!$A$1:$O$1101,5,FALSE)</f>
        <v>-298000000</v>
      </c>
      <c r="H17" s="79">
        <f t="shared" ref="H17:H22" si="24">E17+G17</f>
        <v>42595000</v>
      </c>
      <c r="I17" s="79">
        <f>VLOOKUP($C17,DATOS!$A$1:$O$1101,7,FALSE)</f>
        <v>0</v>
      </c>
      <c r="J17" s="79">
        <f t="shared" ref="J17:J22" si="25">H17-I17</f>
        <v>42595000</v>
      </c>
      <c r="K17" s="79">
        <f>VLOOKUP($C17,DATOS!$A$1:$O$1101,9,FALSE)</f>
        <v>2832852</v>
      </c>
      <c r="L17" s="79">
        <f>VLOOKUP($C17,DATOS!$A$1:$O$1101,10,FALSE)</f>
        <v>39981456</v>
      </c>
      <c r="M17" s="80">
        <f t="shared" si="7"/>
        <v>0.93864200023476929</v>
      </c>
      <c r="N17" s="79">
        <f>VLOOKUP($C17,DATOS!$A$1:$O$1101,12,FALSE)</f>
        <v>2832852</v>
      </c>
      <c r="O17" s="79">
        <f>VLOOKUP($C17,DATOS!$A$1:$O$1101,13,FALSE)</f>
        <v>39981456</v>
      </c>
      <c r="P17" s="80">
        <f t="shared" si="8"/>
        <v>0.93864200023476929</v>
      </c>
      <c r="Q17" s="81">
        <f t="shared" si="9"/>
        <v>39981456</v>
      </c>
      <c r="R17" s="81">
        <f t="shared" ref="R17:R22" si="26">AG17</f>
        <v>37148604</v>
      </c>
      <c r="S17" s="97">
        <v>2832852</v>
      </c>
      <c r="T17" s="81">
        <f t="shared" ref="T17:T22" si="27">+Q17-L17</f>
        <v>0</v>
      </c>
      <c r="U17" s="81">
        <f t="shared" ref="U17:U22" si="28">+V17-L17</f>
        <v>0</v>
      </c>
      <c r="V17" s="81">
        <f t="shared" ref="V17:V22" si="29">SUM(W17:X17)</f>
        <v>39981456</v>
      </c>
      <c r="W17" s="81">
        <f t="shared" ref="W17:W22" si="30">AH17</f>
        <v>37148604</v>
      </c>
      <c r="X17" s="97">
        <v>2832852</v>
      </c>
      <c r="Y17" s="81">
        <f t="shared" ref="Y17:Y22" si="31">+L17-V17</f>
        <v>0</v>
      </c>
      <c r="Z17" s="81">
        <f t="shared" ref="Z17:Z22" si="32">SUM(AA17:AB17)</f>
        <v>39981456</v>
      </c>
      <c r="AA17" s="81">
        <f t="shared" ref="AA17:AA22" si="33">AI17</f>
        <v>37148604</v>
      </c>
      <c r="AB17" s="97">
        <v>2832852</v>
      </c>
      <c r="AC17" s="81">
        <f t="shared" ref="AC17:AC22" si="34">+O17-Z17</f>
        <v>0</v>
      </c>
      <c r="AD17" s="81">
        <f t="shared" ref="AD17:AD22" si="35">+L17-O17</f>
        <v>0</v>
      </c>
      <c r="AE17" s="29">
        <f t="shared" si="12"/>
        <v>13</v>
      </c>
      <c r="AG17" s="29">
        <v>37148604</v>
      </c>
      <c r="AH17" s="29">
        <v>37148604</v>
      </c>
      <c r="AI17" s="29">
        <v>37148604</v>
      </c>
      <c r="AK17" s="168">
        <f t="shared" si="13"/>
        <v>1</v>
      </c>
      <c r="AL17" s="168"/>
    </row>
    <row r="18" spans="1:38" x14ac:dyDescent="0.2">
      <c r="A18" s="77" t="s">
        <v>111</v>
      </c>
      <c r="B18" s="77" t="str">
        <f t="shared" si="3"/>
        <v>FUNCIONAMIENTO</v>
      </c>
      <c r="C18" s="78" t="s">
        <v>27</v>
      </c>
      <c r="D18" s="83" t="s">
        <v>135</v>
      </c>
      <c r="E18" s="79">
        <f>VLOOKUP($C18,DATOS!$A$1:$O$1101,3,FALSE)</f>
        <v>1042714000</v>
      </c>
      <c r="F18" s="191">
        <f>VLOOKUP($C18,DATOS!$A$1:$O$1101,4,FALSE)</f>
        <v>0</v>
      </c>
      <c r="G18" s="79">
        <f>VLOOKUP($C18,DATOS!$A$1:$O$1101,5,FALSE)</f>
        <v>-45000000</v>
      </c>
      <c r="H18" s="79">
        <f t="shared" si="24"/>
        <v>997714000</v>
      </c>
      <c r="I18" s="79">
        <f>VLOOKUP($C18,DATOS!$A$1:$O$1101,7,FALSE)</f>
        <v>0</v>
      </c>
      <c r="J18" s="79">
        <f t="shared" si="25"/>
        <v>997714000</v>
      </c>
      <c r="K18" s="79">
        <f>VLOOKUP($C18,DATOS!$A$1:$O$1101,9,FALSE)</f>
        <v>85878529</v>
      </c>
      <c r="L18" s="79">
        <f>VLOOKUP($C18,DATOS!$A$1:$O$1101,10,FALSE)</f>
        <v>974016654</v>
      </c>
      <c r="M18" s="80">
        <f t="shared" si="7"/>
        <v>0.97624835774580687</v>
      </c>
      <c r="N18" s="79">
        <f>VLOOKUP($C18,DATOS!$A$1:$O$1101,12,FALSE)</f>
        <v>85878529</v>
      </c>
      <c r="O18" s="79">
        <f>VLOOKUP($C18,DATOS!$A$1:$O$1101,13,FALSE)</f>
        <v>974016654</v>
      </c>
      <c r="P18" s="80">
        <f t="shared" si="8"/>
        <v>0.97624835774580687</v>
      </c>
      <c r="Q18" s="81">
        <f t="shared" si="9"/>
        <v>974016654</v>
      </c>
      <c r="R18" s="81">
        <f t="shared" si="26"/>
        <v>888138125</v>
      </c>
      <c r="S18" s="97">
        <v>85878529</v>
      </c>
      <c r="T18" s="81">
        <f t="shared" si="27"/>
        <v>0</v>
      </c>
      <c r="U18" s="81">
        <f t="shared" si="28"/>
        <v>0</v>
      </c>
      <c r="V18" s="81">
        <f t="shared" si="29"/>
        <v>974016654</v>
      </c>
      <c r="W18" s="81">
        <f t="shared" si="30"/>
        <v>888138125</v>
      </c>
      <c r="X18" s="97">
        <v>85878529</v>
      </c>
      <c r="Y18" s="81">
        <f t="shared" si="31"/>
        <v>0</v>
      </c>
      <c r="Z18" s="81">
        <f t="shared" si="32"/>
        <v>974016654</v>
      </c>
      <c r="AA18" s="81">
        <f t="shared" si="33"/>
        <v>888138125</v>
      </c>
      <c r="AB18" s="97">
        <v>85878529</v>
      </c>
      <c r="AC18" s="81">
        <f t="shared" si="34"/>
        <v>0</v>
      </c>
      <c r="AD18" s="81">
        <f t="shared" si="35"/>
        <v>0</v>
      </c>
      <c r="AE18" s="29">
        <f t="shared" si="12"/>
        <v>13</v>
      </c>
      <c r="AG18" s="29">
        <v>888138125</v>
      </c>
      <c r="AH18" s="29">
        <v>888138125</v>
      </c>
      <c r="AI18" s="29">
        <v>888138125</v>
      </c>
      <c r="AK18" s="168">
        <f t="shared" si="13"/>
        <v>1</v>
      </c>
      <c r="AL18" s="168"/>
    </row>
    <row r="19" spans="1:38" x14ac:dyDescent="0.2">
      <c r="A19" s="77" t="s">
        <v>111</v>
      </c>
      <c r="B19" s="77" t="str">
        <f t="shared" si="3"/>
        <v>FUNCIONAMIENTO</v>
      </c>
      <c r="C19" s="78" t="s">
        <v>28</v>
      </c>
      <c r="D19" s="83" t="s">
        <v>136</v>
      </c>
      <c r="E19" s="79">
        <f>VLOOKUP($C19,DATOS!$A$1:$O$1101,3,FALSE)</f>
        <v>1177000</v>
      </c>
      <c r="F19" s="191">
        <f>VLOOKUP($C19,DATOS!$A$1:$O$1101,4,FALSE)</f>
        <v>0</v>
      </c>
      <c r="G19" s="79">
        <f>VLOOKUP($C19,DATOS!$A$1:$O$1101,5,FALSE)</f>
        <v>500000</v>
      </c>
      <c r="H19" s="79">
        <f t="shared" si="24"/>
        <v>1677000</v>
      </c>
      <c r="I19" s="79">
        <f>VLOOKUP($C19,DATOS!$A$1:$O$1101,7,FALSE)</f>
        <v>0</v>
      </c>
      <c r="J19" s="79">
        <f t="shared" si="25"/>
        <v>1677000</v>
      </c>
      <c r="K19" s="79">
        <f>VLOOKUP($C19,DATOS!$A$1:$O$1101,9,FALSE)</f>
        <v>69252</v>
      </c>
      <c r="L19" s="79">
        <f>VLOOKUP($C19,DATOS!$A$1:$O$1101,10,FALSE)</f>
        <v>1098135</v>
      </c>
      <c r="M19" s="80">
        <f t="shared" si="7"/>
        <v>0.65482110912343472</v>
      </c>
      <c r="N19" s="79">
        <f>VLOOKUP($C19,DATOS!$A$1:$O$1101,12,FALSE)</f>
        <v>69252</v>
      </c>
      <c r="O19" s="79">
        <f>VLOOKUP($C19,DATOS!$A$1:$O$1101,13,FALSE)</f>
        <v>1098135</v>
      </c>
      <c r="P19" s="80">
        <f t="shared" si="8"/>
        <v>0.65482110912343472</v>
      </c>
      <c r="Q19" s="81">
        <f t="shared" si="9"/>
        <v>1098135</v>
      </c>
      <c r="R19" s="81">
        <f t="shared" si="26"/>
        <v>1028883</v>
      </c>
      <c r="S19" s="97">
        <v>69252</v>
      </c>
      <c r="T19" s="81">
        <f t="shared" si="27"/>
        <v>0</v>
      </c>
      <c r="U19" s="81">
        <f t="shared" si="28"/>
        <v>0</v>
      </c>
      <c r="V19" s="81">
        <f t="shared" si="29"/>
        <v>1098135</v>
      </c>
      <c r="W19" s="81">
        <f t="shared" si="30"/>
        <v>1028883</v>
      </c>
      <c r="X19" s="97">
        <v>69252</v>
      </c>
      <c r="Y19" s="81">
        <f t="shared" si="31"/>
        <v>0</v>
      </c>
      <c r="Z19" s="81">
        <f t="shared" si="32"/>
        <v>1098135</v>
      </c>
      <c r="AA19" s="81">
        <f t="shared" si="33"/>
        <v>1028883</v>
      </c>
      <c r="AB19" s="97">
        <v>69252</v>
      </c>
      <c r="AC19" s="81">
        <f t="shared" si="34"/>
        <v>0</v>
      </c>
      <c r="AD19" s="81">
        <f t="shared" si="35"/>
        <v>0</v>
      </c>
      <c r="AE19" s="29">
        <f t="shared" si="12"/>
        <v>13</v>
      </c>
      <c r="AG19" s="29">
        <v>1028883</v>
      </c>
      <c r="AH19" s="29">
        <v>1028883</v>
      </c>
      <c r="AI19" s="29">
        <v>1028883</v>
      </c>
      <c r="AK19" s="168">
        <f t="shared" si="13"/>
        <v>1</v>
      </c>
      <c r="AL19" s="168"/>
    </row>
    <row r="20" spans="1:38" x14ac:dyDescent="0.2">
      <c r="A20" s="77" t="s">
        <v>111</v>
      </c>
      <c r="B20" s="77" t="str">
        <f t="shared" si="3"/>
        <v>FUNCIONAMIENTO</v>
      </c>
      <c r="C20" s="78" t="s">
        <v>29</v>
      </c>
      <c r="D20" s="83" t="s">
        <v>137</v>
      </c>
      <c r="E20" s="79">
        <f>VLOOKUP($C20,DATOS!$A$1:$O$1101,3,FALSE)</f>
        <v>2003000</v>
      </c>
      <c r="F20" s="191">
        <f>VLOOKUP($C20,DATOS!$A$1:$O$1101,4,FALSE)</f>
        <v>0</v>
      </c>
      <c r="G20" s="79">
        <f>VLOOKUP($C20,DATOS!$A$1:$O$1101,5,FALSE)</f>
        <v>1000000</v>
      </c>
      <c r="H20" s="79">
        <f t="shared" si="24"/>
        <v>3003000</v>
      </c>
      <c r="I20" s="79">
        <f>VLOOKUP($C20,DATOS!$A$1:$O$1101,7,FALSE)</f>
        <v>0</v>
      </c>
      <c r="J20" s="79">
        <f t="shared" si="25"/>
        <v>3003000</v>
      </c>
      <c r="K20" s="79">
        <f>VLOOKUP($C20,DATOS!$A$1:$O$1101,9,FALSE)</f>
        <v>140000</v>
      </c>
      <c r="L20" s="79">
        <f>VLOOKUP($C20,DATOS!$A$1:$O$1101,10,FALSE)</f>
        <v>2220000</v>
      </c>
      <c r="M20" s="80">
        <f t="shared" si="7"/>
        <v>0.73926073926073921</v>
      </c>
      <c r="N20" s="79">
        <f>VLOOKUP($C20,DATOS!$A$1:$O$1101,12,FALSE)</f>
        <v>140000</v>
      </c>
      <c r="O20" s="79">
        <f>VLOOKUP($C20,DATOS!$A$1:$O$1101,13,FALSE)</f>
        <v>2220000</v>
      </c>
      <c r="P20" s="80">
        <f t="shared" si="8"/>
        <v>0.73926073926073921</v>
      </c>
      <c r="Q20" s="81">
        <f t="shared" si="9"/>
        <v>2220000</v>
      </c>
      <c r="R20" s="81">
        <f t="shared" si="26"/>
        <v>2080000</v>
      </c>
      <c r="S20" s="97">
        <v>140000</v>
      </c>
      <c r="T20" s="81">
        <f t="shared" si="27"/>
        <v>0</v>
      </c>
      <c r="U20" s="81">
        <f t="shared" si="28"/>
        <v>0</v>
      </c>
      <c r="V20" s="81">
        <f t="shared" si="29"/>
        <v>2220000</v>
      </c>
      <c r="W20" s="81">
        <f t="shared" si="30"/>
        <v>2080000</v>
      </c>
      <c r="X20" s="97">
        <v>140000</v>
      </c>
      <c r="Y20" s="81">
        <f t="shared" si="31"/>
        <v>0</v>
      </c>
      <c r="Z20" s="81">
        <f t="shared" si="32"/>
        <v>2220000</v>
      </c>
      <c r="AA20" s="81">
        <f t="shared" si="33"/>
        <v>2080000</v>
      </c>
      <c r="AB20" s="97">
        <v>140000</v>
      </c>
      <c r="AC20" s="81">
        <f t="shared" si="34"/>
        <v>0</v>
      </c>
      <c r="AD20" s="81">
        <f t="shared" si="35"/>
        <v>0</v>
      </c>
      <c r="AE20" s="29">
        <f t="shared" si="12"/>
        <v>13</v>
      </c>
      <c r="AG20" s="29">
        <v>2080000</v>
      </c>
      <c r="AH20" s="29">
        <v>2080000</v>
      </c>
      <c r="AI20" s="29">
        <v>2080000</v>
      </c>
      <c r="AK20" s="168">
        <f t="shared" si="13"/>
        <v>1</v>
      </c>
      <c r="AL20" s="168"/>
    </row>
    <row r="21" spans="1:38" x14ac:dyDescent="0.2">
      <c r="A21" s="77" t="s">
        <v>111</v>
      </c>
      <c r="B21" s="77" t="str">
        <f t="shared" si="3"/>
        <v>FUNCIONAMIENTO</v>
      </c>
      <c r="C21" s="78" t="s">
        <v>30</v>
      </c>
      <c r="D21" s="83" t="s">
        <v>138</v>
      </c>
      <c r="E21" s="79">
        <f>VLOOKUP($C21,DATOS!$A$1:$O$1101,3,FALSE)</f>
        <v>748685000</v>
      </c>
      <c r="F21" s="191">
        <f>VLOOKUP($C21,DATOS!$A$1:$O$1101,4,FALSE)</f>
        <v>0</v>
      </c>
      <c r="G21" s="79">
        <f>VLOOKUP($C21,DATOS!$A$1:$O$1101,5,FALSE)</f>
        <v>534000000</v>
      </c>
      <c r="H21" s="79">
        <f t="shared" si="24"/>
        <v>1282685000</v>
      </c>
      <c r="I21" s="79">
        <f>VLOOKUP($C21,DATOS!$A$1:$O$1101,7,FALSE)</f>
        <v>0</v>
      </c>
      <c r="J21" s="79">
        <f t="shared" si="25"/>
        <v>1282685000</v>
      </c>
      <c r="K21" s="79">
        <f>VLOOKUP($C21,DATOS!$A$1:$O$1101,9,FALSE)</f>
        <v>0</v>
      </c>
      <c r="L21" s="79">
        <f>VLOOKUP($C21,DATOS!$A$1:$O$1101,10,FALSE)</f>
        <v>1185550783</v>
      </c>
      <c r="M21" s="80">
        <f t="shared" si="7"/>
        <v>0.92427274272327187</v>
      </c>
      <c r="N21" s="79">
        <f>VLOOKUP($C21,DATOS!$A$1:$O$1101,12,FALSE)</f>
        <v>0</v>
      </c>
      <c r="O21" s="79">
        <f>VLOOKUP($C21,DATOS!$A$1:$O$1101,13,FALSE)</f>
        <v>1185550783</v>
      </c>
      <c r="P21" s="80">
        <f t="shared" si="8"/>
        <v>0.92427274272327187</v>
      </c>
      <c r="Q21" s="81">
        <f t="shared" si="9"/>
        <v>1185550783</v>
      </c>
      <c r="R21" s="81">
        <f t="shared" si="26"/>
        <v>1185550783</v>
      </c>
      <c r="S21" s="97">
        <v>0</v>
      </c>
      <c r="T21" s="81">
        <f t="shared" si="27"/>
        <v>0</v>
      </c>
      <c r="U21" s="81">
        <f t="shared" si="28"/>
        <v>0</v>
      </c>
      <c r="V21" s="81">
        <f t="shared" si="29"/>
        <v>1185550783</v>
      </c>
      <c r="W21" s="81">
        <f t="shared" si="30"/>
        <v>1185550783</v>
      </c>
      <c r="X21" s="97">
        <v>0</v>
      </c>
      <c r="Y21" s="81">
        <f t="shared" si="31"/>
        <v>0</v>
      </c>
      <c r="Z21" s="81">
        <f t="shared" si="32"/>
        <v>1185550783</v>
      </c>
      <c r="AA21" s="81">
        <f t="shared" si="33"/>
        <v>1185550783</v>
      </c>
      <c r="AB21" s="97">
        <v>0</v>
      </c>
      <c r="AC21" s="81">
        <f t="shared" si="34"/>
        <v>0</v>
      </c>
      <c r="AD21" s="81">
        <f t="shared" si="35"/>
        <v>0</v>
      </c>
      <c r="AE21" s="29">
        <f t="shared" si="12"/>
        <v>13</v>
      </c>
      <c r="AG21" s="29">
        <v>1185550783</v>
      </c>
      <c r="AH21" s="29">
        <v>1185550783</v>
      </c>
      <c r="AI21" s="29">
        <v>1185550783</v>
      </c>
      <c r="AK21" s="168">
        <f t="shared" si="13"/>
        <v>0</v>
      </c>
      <c r="AL21" s="168"/>
    </row>
    <row r="22" spans="1:38" x14ac:dyDescent="0.2">
      <c r="A22" s="77" t="s">
        <v>111</v>
      </c>
      <c r="B22" s="77" t="str">
        <f t="shared" si="3"/>
        <v>FUNCIONAMIENTO</v>
      </c>
      <c r="C22" s="78" t="s">
        <v>31</v>
      </c>
      <c r="D22" s="83" t="s">
        <v>139</v>
      </c>
      <c r="E22" s="79">
        <f>VLOOKUP($C22,DATOS!$A$1:$O$1101,3,FALSE)</f>
        <v>448072000</v>
      </c>
      <c r="F22" s="191">
        <f>VLOOKUP($C22,DATOS!$A$1:$O$1101,4,FALSE)</f>
        <v>0</v>
      </c>
      <c r="G22" s="79">
        <f>VLOOKUP($C22,DATOS!$A$1:$O$1101,5,FALSE)</f>
        <v>-120000000</v>
      </c>
      <c r="H22" s="79">
        <f t="shared" si="24"/>
        <v>328072000</v>
      </c>
      <c r="I22" s="79">
        <f>VLOOKUP($C22,DATOS!$A$1:$O$1101,7,FALSE)</f>
        <v>0</v>
      </c>
      <c r="J22" s="79">
        <f t="shared" si="25"/>
        <v>328072000</v>
      </c>
      <c r="K22" s="79">
        <f>VLOOKUP($C22,DATOS!$A$1:$O$1101,9,FALSE)</f>
        <v>1286728</v>
      </c>
      <c r="L22" s="79">
        <f>VLOOKUP($C22,DATOS!$A$1:$O$1101,10,FALSE)</f>
        <v>253950654</v>
      </c>
      <c r="M22" s="80">
        <f t="shared" si="7"/>
        <v>0.77406988100173135</v>
      </c>
      <c r="N22" s="79">
        <f>VLOOKUP($C22,DATOS!$A$1:$O$1101,12,FALSE)</f>
        <v>1286728</v>
      </c>
      <c r="O22" s="79">
        <f>VLOOKUP($C22,DATOS!$A$1:$O$1101,13,FALSE)</f>
        <v>253950654</v>
      </c>
      <c r="P22" s="80">
        <f t="shared" si="8"/>
        <v>0.77406988100173135</v>
      </c>
      <c r="Q22" s="81">
        <f t="shared" si="9"/>
        <v>253950654</v>
      </c>
      <c r="R22" s="81">
        <f t="shared" si="26"/>
        <v>252663926</v>
      </c>
      <c r="S22" s="97">
        <v>1286728</v>
      </c>
      <c r="T22" s="81">
        <f t="shared" si="27"/>
        <v>0</v>
      </c>
      <c r="U22" s="81">
        <f t="shared" si="28"/>
        <v>0</v>
      </c>
      <c r="V22" s="81">
        <f t="shared" si="29"/>
        <v>253950654</v>
      </c>
      <c r="W22" s="81">
        <f t="shared" si="30"/>
        <v>252663926</v>
      </c>
      <c r="X22" s="97">
        <v>1286728</v>
      </c>
      <c r="Y22" s="81">
        <f t="shared" si="31"/>
        <v>0</v>
      </c>
      <c r="Z22" s="81">
        <f t="shared" si="32"/>
        <v>253950654</v>
      </c>
      <c r="AA22" s="81">
        <f t="shared" si="33"/>
        <v>252663926</v>
      </c>
      <c r="AB22" s="97">
        <v>1286728</v>
      </c>
      <c r="AC22" s="81">
        <f t="shared" si="34"/>
        <v>0</v>
      </c>
      <c r="AD22" s="81">
        <f t="shared" si="35"/>
        <v>0</v>
      </c>
      <c r="AE22" s="29">
        <f t="shared" si="12"/>
        <v>13</v>
      </c>
      <c r="AG22" s="29">
        <v>252663926</v>
      </c>
      <c r="AH22" s="29">
        <v>252663926</v>
      </c>
      <c r="AI22" s="29">
        <v>252663926</v>
      </c>
      <c r="AK22" s="168">
        <f t="shared" si="13"/>
        <v>1</v>
      </c>
      <c r="AL22" s="168"/>
    </row>
    <row r="23" spans="1:38" ht="14.1" hidden="1" customHeight="1" x14ac:dyDescent="0.2">
      <c r="A23" s="75"/>
      <c r="B23" s="75" t="str">
        <f t="shared" si="3"/>
        <v>FUNCIONAMIENTO</v>
      </c>
      <c r="C23" s="59" t="s">
        <v>32</v>
      </c>
      <c r="D23" s="57" t="s">
        <v>33</v>
      </c>
      <c r="E23" s="60">
        <f>+SUM(E24:E25)</f>
        <v>1549053000</v>
      </c>
      <c r="F23" s="60">
        <f t="shared" ref="F23:O23" si="36">+SUM(F24:F25)</f>
        <v>0</v>
      </c>
      <c r="G23" s="60">
        <f t="shared" si="36"/>
        <v>133000000</v>
      </c>
      <c r="H23" s="60">
        <f t="shared" si="5"/>
        <v>1682053000</v>
      </c>
      <c r="I23" s="60">
        <f t="shared" si="36"/>
        <v>0</v>
      </c>
      <c r="J23" s="60">
        <f t="shared" si="6"/>
        <v>1682053000</v>
      </c>
      <c r="K23" s="60">
        <f t="shared" si="36"/>
        <v>996255249</v>
      </c>
      <c r="L23" s="60">
        <f t="shared" si="36"/>
        <v>1443812422</v>
      </c>
      <c r="M23" s="61">
        <f t="shared" si="7"/>
        <v>0.85836321566561813</v>
      </c>
      <c r="N23" s="60">
        <f t="shared" si="36"/>
        <v>996255249</v>
      </c>
      <c r="O23" s="60">
        <f t="shared" si="36"/>
        <v>1443812422</v>
      </c>
      <c r="P23" s="61">
        <f t="shared" si="8"/>
        <v>0.85836321566561813</v>
      </c>
      <c r="Q23" s="84">
        <f t="shared" si="9"/>
        <v>1443812422</v>
      </c>
      <c r="R23" s="84">
        <f>+SUM(R24:R25)</f>
        <v>447557173</v>
      </c>
      <c r="S23" s="84">
        <f>+SUM(S24:S25)</f>
        <v>996255249</v>
      </c>
      <c r="T23" s="84">
        <f t="shared" ref="T23:T42" si="37">+Q23-L23</f>
        <v>0</v>
      </c>
      <c r="U23" s="84">
        <f t="shared" si="22"/>
        <v>0</v>
      </c>
      <c r="V23" s="84">
        <f t="shared" ref="V23:V80" si="38">SUM(W23:X23)</f>
        <v>1443812422</v>
      </c>
      <c r="W23" s="84">
        <f>+SUM(W24:W25)</f>
        <v>447557173</v>
      </c>
      <c r="X23" s="74">
        <f>+SUM(X24:X25)</f>
        <v>996255249</v>
      </c>
      <c r="Y23" s="84">
        <f t="shared" si="1"/>
        <v>0</v>
      </c>
      <c r="Z23" s="84">
        <f t="shared" si="11"/>
        <v>1443812422</v>
      </c>
      <c r="AA23" s="84">
        <f>+SUM(AA24:AA25)</f>
        <v>447557173</v>
      </c>
      <c r="AB23" s="84">
        <f>+SUM(AB24:AB25)</f>
        <v>996255249</v>
      </c>
      <c r="AC23" s="84">
        <f t="shared" si="2"/>
        <v>0</v>
      </c>
      <c r="AD23" s="84">
        <f t="shared" si="23"/>
        <v>0</v>
      </c>
      <c r="AE23" s="29">
        <f t="shared" si="12"/>
        <v>13</v>
      </c>
      <c r="AG23" s="29">
        <v>447557173</v>
      </c>
      <c r="AH23" s="29">
        <v>447557173</v>
      </c>
      <c r="AI23" s="29">
        <v>447557173</v>
      </c>
      <c r="AK23" s="168">
        <f t="shared" si="13"/>
        <v>1</v>
      </c>
      <c r="AL23" s="168"/>
    </row>
    <row r="24" spans="1:38" x14ac:dyDescent="0.2">
      <c r="A24" s="77" t="s">
        <v>111</v>
      </c>
      <c r="B24" s="77" t="str">
        <f t="shared" si="3"/>
        <v>FUNCIONAMIENTO</v>
      </c>
      <c r="C24" s="78" t="s">
        <v>34</v>
      </c>
      <c r="D24" s="83" t="s">
        <v>140</v>
      </c>
      <c r="E24" s="79">
        <f>VLOOKUP($C24,DATOS!$A$1:$O$1101,3,FALSE)</f>
        <v>1083358000</v>
      </c>
      <c r="F24" s="191">
        <f>VLOOKUP($C24,DATOS!$A$1:$O$1101,4,FALSE)</f>
        <v>0</v>
      </c>
      <c r="G24" s="79">
        <f>VLOOKUP($C24,DATOS!$A$1:$O$1101,5,FALSE)</f>
        <v>83000000</v>
      </c>
      <c r="H24" s="79">
        <f t="shared" ref="H24:H26" si="39">E24+G24</f>
        <v>1166358000</v>
      </c>
      <c r="I24" s="79">
        <f>VLOOKUP($C24,DATOS!$A$1:$O$1101,7,FALSE)</f>
        <v>0</v>
      </c>
      <c r="J24" s="79">
        <f t="shared" ref="J24:J26" si="40">H24-I24</f>
        <v>1166358000</v>
      </c>
      <c r="K24" s="79">
        <f>VLOOKUP($C24,DATOS!$A$1:$O$1101,9,FALSE)</f>
        <v>956334369</v>
      </c>
      <c r="L24" s="79">
        <f>VLOOKUP($C24,DATOS!$A$1:$O$1101,10,FALSE)</f>
        <v>1023805449</v>
      </c>
      <c r="M24" s="80">
        <f t="shared" si="7"/>
        <v>0.87777976316019612</v>
      </c>
      <c r="N24" s="79">
        <f>VLOOKUP($C24,DATOS!$A$1:$O$1101,12,FALSE)</f>
        <v>956334369</v>
      </c>
      <c r="O24" s="79">
        <f>VLOOKUP($C24,DATOS!$A$1:$O$1101,13,FALSE)</f>
        <v>1023805449</v>
      </c>
      <c r="P24" s="80">
        <f t="shared" si="8"/>
        <v>0.87777976316019612</v>
      </c>
      <c r="Q24" s="81">
        <f t="shared" si="9"/>
        <v>1023805449</v>
      </c>
      <c r="R24" s="81">
        <f t="shared" ref="R24:R26" si="41">AG24</f>
        <v>67471080</v>
      </c>
      <c r="S24" s="97">
        <v>956334369</v>
      </c>
      <c r="T24" s="81">
        <f t="shared" si="37"/>
        <v>0</v>
      </c>
      <c r="U24" s="81">
        <f t="shared" ref="U24:U26" si="42">+V24-L24</f>
        <v>0</v>
      </c>
      <c r="V24" s="81">
        <f t="shared" si="38"/>
        <v>1023805449</v>
      </c>
      <c r="W24" s="81">
        <f t="shared" ref="W24:W26" si="43">AH24</f>
        <v>67471080</v>
      </c>
      <c r="X24" s="97">
        <v>956334369</v>
      </c>
      <c r="Y24" s="81">
        <f t="shared" si="1"/>
        <v>0</v>
      </c>
      <c r="Z24" s="81">
        <f t="shared" ref="Z24:Z26" si="44">SUM(AA24:AB24)</f>
        <v>1023805449</v>
      </c>
      <c r="AA24" s="81">
        <f t="shared" ref="AA24:AA26" si="45">AI24</f>
        <v>67471080</v>
      </c>
      <c r="AB24" s="97">
        <v>956334369</v>
      </c>
      <c r="AC24" s="81">
        <f t="shared" si="2"/>
        <v>0</v>
      </c>
      <c r="AD24" s="81">
        <f t="shared" ref="AD24:AD26" si="46">+L24-O24</f>
        <v>0</v>
      </c>
      <c r="AE24" s="29">
        <f t="shared" si="12"/>
        <v>15</v>
      </c>
      <c r="AG24" s="29">
        <v>67471080</v>
      </c>
      <c r="AH24" s="29">
        <v>67471080</v>
      </c>
      <c r="AI24" s="29">
        <v>67471080</v>
      </c>
      <c r="AK24" s="168">
        <f t="shared" si="13"/>
        <v>1</v>
      </c>
      <c r="AL24" s="168"/>
    </row>
    <row r="25" spans="1:38" x14ac:dyDescent="0.2">
      <c r="A25" s="77" t="s">
        <v>111</v>
      </c>
      <c r="B25" s="77" t="str">
        <f t="shared" si="3"/>
        <v>FUNCIONAMIENTO</v>
      </c>
      <c r="C25" s="78" t="s">
        <v>35</v>
      </c>
      <c r="D25" s="83" t="s">
        <v>141</v>
      </c>
      <c r="E25" s="79">
        <f>VLOOKUP($C25,DATOS!$A$1:$O$1101,3,FALSE)</f>
        <v>465695000</v>
      </c>
      <c r="F25" s="191">
        <f>VLOOKUP($C25,DATOS!$A$1:$O$1101,4,FALSE)</f>
        <v>0</v>
      </c>
      <c r="G25" s="79">
        <f>VLOOKUP($C25,DATOS!$A$1:$O$1101,5,FALSE)</f>
        <v>50000000</v>
      </c>
      <c r="H25" s="79">
        <f t="shared" si="39"/>
        <v>515695000</v>
      </c>
      <c r="I25" s="79">
        <f>VLOOKUP($C25,DATOS!$A$1:$O$1101,7,FALSE)</f>
        <v>0</v>
      </c>
      <c r="J25" s="79">
        <f t="shared" si="40"/>
        <v>515695000</v>
      </c>
      <c r="K25" s="79">
        <f>VLOOKUP($C25,DATOS!$A$1:$O$1101,9,FALSE)</f>
        <v>39920880</v>
      </c>
      <c r="L25" s="79">
        <f>VLOOKUP($C25,DATOS!$A$1:$O$1101,10,FALSE)</f>
        <v>420006973</v>
      </c>
      <c r="M25" s="80">
        <f t="shared" si="7"/>
        <v>0.81444841039761873</v>
      </c>
      <c r="N25" s="79">
        <f>VLOOKUP($C25,DATOS!$A$1:$O$1101,12,FALSE)</f>
        <v>39920880</v>
      </c>
      <c r="O25" s="79">
        <f>VLOOKUP($C25,DATOS!$A$1:$O$1101,13,FALSE)</f>
        <v>420006973</v>
      </c>
      <c r="P25" s="80">
        <f t="shared" si="8"/>
        <v>0.81444841039761873</v>
      </c>
      <c r="Q25" s="81">
        <f t="shared" si="9"/>
        <v>420006973</v>
      </c>
      <c r="R25" s="81">
        <f t="shared" si="41"/>
        <v>380086093</v>
      </c>
      <c r="S25" s="97">
        <v>39920880</v>
      </c>
      <c r="T25" s="81">
        <f t="shared" si="37"/>
        <v>0</v>
      </c>
      <c r="U25" s="81">
        <f t="shared" si="42"/>
        <v>0</v>
      </c>
      <c r="V25" s="81">
        <f t="shared" si="38"/>
        <v>420006973</v>
      </c>
      <c r="W25" s="81">
        <f t="shared" si="43"/>
        <v>380086093</v>
      </c>
      <c r="X25" s="97">
        <v>39920880</v>
      </c>
      <c r="Y25" s="81">
        <f t="shared" si="1"/>
        <v>0</v>
      </c>
      <c r="Z25" s="81">
        <f t="shared" si="44"/>
        <v>420006973</v>
      </c>
      <c r="AA25" s="81">
        <f t="shared" si="45"/>
        <v>380086093</v>
      </c>
      <c r="AB25" s="97">
        <v>39920880</v>
      </c>
      <c r="AC25" s="81">
        <f t="shared" si="2"/>
        <v>0</v>
      </c>
      <c r="AD25" s="81">
        <f t="shared" si="46"/>
        <v>0</v>
      </c>
      <c r="AE25" s="29">
        <f t="shared" si="12"/>
        <v>15</v>
      </c>
      <c r="AG25" s="29">
        <v>380086093</v>
      </c>
      <c r="AH25" s="29">
        <v>380086093</v>
      </c>
      <c r="AI25" s="29">
        <v>380086093</v>
      </c>
      <c r="AK25" s="168">
        <f t="shared" si="13"/>
        <v>1</v>
      </c>
      <c r="AL25" s="168"/>
    </row>
    <row r="26" spans="1:38" x14ac:dyDescent="0.2">
      <c r="A26" s="77" t="s">
        <v>111</v>
      </c>
      <c r="B26" s="77" t="str">
        <f t="shared" si="3"/>
        <v>FUNCIONAMIENTO</v>
      </c>
      <c r="C26" s="78" t="s">
        <v>36</v>
      </c>
      <c r="D26" s="83" t="s">
        <v>142</v>
      </c>
      <c r="E26" s="79">
        <f>VLOOKUP($C26,DATOS!$A$1:$O$1101,3,FALSE)</f>
        <v>1287440000</v>
      </c>
      <c r="F26" s="191">
        <f>VLOOKUP($C26,DATOS!$A$1:$O$1101,4,FALSE)</f>
        <v>0</v>
      </c>
      <c r="G26" s="79">
        <f>VLOOKUP($C26,DATOS!$A$1:$O$1101,5,FALSE)</f>
        <v>-50500000</v>
      </c>
      <c r="H26" s="79">
        <f t="shared" si="39"/>
        <v>1236940000</v>
      </c>
      <c r="I26" s="79">
        <f>VLOOKUP($C26,DATOS!$A$1:$O$1101,7,FALSE)</f>
        <v>0</v>
      </c>
      <c r="J26" s="79">
        <f t="shared" si="40"/>
        <v>1236940000</v>
      </c>
      <c r="K26" s="79">
        <f>VLOOKUP($C26,DATOS!$A$1:$O$1101,9,FALSE)</f>
        <v>106520775</v>
      </c>
      <c r="L26" s="79">
        <f>VLOOKUP($C26,DATOS!$A$1:$O$1101,10,FALSE)</f>
        <v>1214905212</v>
      </c>
      <c r="M26" s="80">
        <f t="shared" si="7"/>
        <v>0.9821860494445972</v>
      </c>
      <c r="N26" s="79">
        <f>VLOOKUP($C26,DATOS!$A$1:$O$1101,12,FALSE)</f>
        <v>106520775</v>
      </c>
      <c r="O26" s="79">
        <f>VLOOKUP($C26,DATOS!$A$1:$O$1101,13,FALSE)</f>
        <v>1214905212</v>
      </c>
      <c r="P26" s="80">
        <f t="shared" si="8"/>
        <v>0.9821860494445972</v>
      </c>
      <c r="Q26" s="81">
        <f t="shared" si="9"/>
        <v>1214905212</v>
      </c>
      <c r="R26" s="81">
        <f t="shared" si="41"/>
        <v>1108384437</v>
      </c>
      <c r="S26" s="97">
        <v>106520775</v>
      </c>
      <c r="T26" s="81">
        <f t="shared" si="37"/>
        <v>0</v>
      </c>
      <c r="U26" s="81">
        <f t="shared" si="42"/>
        <v>0</v>
      </c>
      <c r="V26" s="81">
        <f t="shared" si="38"/>
        <v>1214905212</v>
      </c>
      <c r="W26" s="81">
        <f t="shared" si="43"/>
        <v>1108384437</v>
      </c>
      <c r="X26" s="97">
        <v>106520775</v>
      </c>
      <c r="Y26" s="81">
        <f t="shared" si="1"/>
        <v>0</v>
      </c>
      <c r="Z26" s="81">
        <f t="shared" si="44"/>
        <v>1214905212</v>
      </c>
      <c r="AA26" s="81">
        <f t="shared" si="45"/>
        <v>1108384437</v>
      </c>
      <c r="AB26" s="97">
        <v>106520775</v>
      </c>
      <c r="AC26" s="81">
        <f t="shared" si="2"/>
        <v>0</v>
      </c>
      <c r="AD26" s="81">
        <f t="shared" si="46"/>
        <v>0</v>
      </c>
      <c r="AE26" s="29">
        <f t="shared" si="12"/>
        <v>13</v>
      </c>
      <c r="AG26" s="29">
        <v>1108384437</v>
      </c>
      <c r="AH26" s="29">
        <v>1108384437</v>
      </c>
      <c r="AI26" s="29">
        <v>1108384437</v>
      </c>
      <c r="AK26" s="168">
        <f t="shared" si="13"/>
        <v>1</v>
      </c>
      <c r="AL26" s="168"/>
    </row>
    <row r="27" spans="1:38" hidden="1" x14ac:dyDescent="0.2">
      <c r="A27" s="75"/>
      <c r="B27" s="75" t="str">
        <f t="shared" si="3"/>
        <v>FUNCIONAMIENTO</v>
      </c>
      <c r="C27" s="59" t="s">
        <v>37</v>
      </c>
      <c r="D27" s="58" t="s">
        <v>100</v>
      </c>
      <c r="E27" s="60">
        <f>+SUM(E28:E30)+SUM(E33:E36)</f>
        <v>6131286000</v>
      </c>
      <c r="F27" s="60">
        <f t="shared" ref="F27:O27" si="47">+SUM(F28:F30)+SUM(F33:F36)</f>
        <v>0</v>
      </c>
      <c r="G27" s="60">
        <f t="shared" si="47"/>
        <v>-892732527</v>
      </c>
      <c r="H27" s="60">
        <f t="shared" si="5"/>
        <v>5238553473</v>
      </c>
      <c r="I27" s="60">
        <f t="shared" si="47"/>
        <v>0</v>
      </c>
      <c r="J27" s="60">
        <f t="shared" si="6"/>
        <v>5238553473</v>
      </c>
      <c r="K27" s="60">
        <f t="shared" si="47"/>
        <v>1255841482</v>
      </c>
      <c r="L27" s="60">
        <f t="shared" si="47"/>
        <v>4844774921</v>
      </c>
      <c r="M27" s="61">
        <f t="shared" si="7"/>
        <v>0.92483067052201107</v>
      </c>
      <c r="N27" s="60">
        <f t="shared" si="47"/>
        <v>231594200</v>
      </c>
      <c r="O27" s="60">
        <f t="shared" si="47"/>
        <v>3820527639</v>
      </c>
      <c r="P27" s="61">
        <f t="shared" si="8"/>
        <v>0.72930965746390886</v>
      </c>
      <c r="Q27" s="84">
        <f t="shared" si="9"/>
        <v>4844774921</v>
      </c>
      <c r="R27" s="84">
        <f>+SUM(R28:R30)+SUM(R33:R36)</f>
        <v>3588933439</v>
      </c>
      <c r="S27" s="84">
        <f>+SUM(S28:S30)+SUM(S33:S36)</f>
        <v>1255841482</v>
      </c>
      <c r="T27" s="84">
        <f t="shared" si="37"/>
        <v>0</v>
      </c>
      <c r="U27" s="84">
        <f t="shared" si="22"/>
        <v>0</v>
      </c>
      <c r="V27" s="84">
        <f t="shared" si="38"/>
        <v>4844774921</v>
      </c>
      <c r="W27" s="84">
        <f>+SUM(W28:W30)+SUM(W33:W36)</f>
        <v>3588933439</v>
      </c>
      <c r="X27" s="74">
        <f>+SUM(X28:X30)+SUM(X33:X36)</f>
        <v>1255841482</v>
      </c>
      <c r="Y27" s="84">
        <f t="shared" si="1"/>
        <v>0</v>
      </c>
      <c r="Z27" s="84">
        <f t="shared" si="11"/>
        <v>3820527639</v>
      </c>
      <c r="AA27" s="84">
        <f>+SUM(AA28:AA30)+SUM(AA33:AA36)</f>
        <v>3588933439</v>
      </c>
      <c r="AB27" s="84">
        <f>+SUM(AB28:AB30)+SUM(AB33:AB36)</f>
        <v>231594200</v>
      </c>
      <c r="AC27" s="84">
        <f t="shared" si="2"/>
        <v>0</v>
      </c>
      <c r="AD27" s="84">
        <f t="shared" si="23"/>
        <v>1024247282</v>
      </c>
      <c r="AE27" s="29">
        <f t="shared" si="12"/>
        <v>8</v>
      </c>
      <c r="AG27" s="29">
        <v>3588933439</v>
      </c>
      <c r="AH27" s="29">
        <v>3588933439</v>
      </c>
      <c r="AI27" s="29">
        <v>3588933439</v>
      </c>
      <c r="AK27" s="168">
        <f t="shared" si="13"/>
        <v>1</v>
      </c>
      <c r="AL27" s="168"/>
    </row>
    <row r="28" spans="1:38" x14ac:dyDescent="0.2">
      <c r="A28" s="77" t="s">
        <v>111</v>
      </c>
      <c r="B28" s="77" t="str">
        <f t="shared" si="3"/>
        <v>FUNCIONAMIENTO</v>
      </c>
      <c r="C28" s="78" t="s">
        <v>38</v>
      </c>
      <c r="D28" s="82" t="s">
        <v>143</v>
      </c>
      <c r="E28" s="79">
        <f>VLOOKUP($C28,DATOS!$A$1:$O$1101,3,FALSE)</f>
        <v>1289658000</v>
      </c>
      <c r="F28" s="191">
        <f>VLOOKUP($C28,DATOS!$A$1:$O$1101,4,FALSE)</f>
        <v>0</v>
      </c>
      <c r="G28" s="79">
        <f>VLOOKUP($C28,DATOS!$A$1:$O$1101,5,FALSE)</f>
        <v>-60000000</v>
      </c>
      <c r="H28" s="79">
        <f t="shared" ref="H28:H29" si="48">E28+G28</f>
        <v>1229658000</v>
      </c>
      <c r="I28" s="79">
        <f>VLOOKUP($C28,DATOS!$A$1:$O$1101,7,FALSE)</f>
        <v>0</v>
      </c>
      <c r="J28" s="79">
        <f t="shared" ref="J28:J29" si="49">H28-I28</f>
        <v>1229658000</v>
      </c>
      <c r="K28" s="79">
        <f>VLOOKUP($C28,DATOS!$A$1:$O$1101,9,FALSE)</f>
        <v>96521100</v>
      </c>
      <c r="L28" s="79">
        <f>VLOOKUP($C28,DATOS!$A$1:$O$1101,10,FALSE)</f>
        <v>1173897600</v>
      </c>
      <c r="M28" s="80">
        <f t="shared" si="7"/>
        <v>0.95465373298917255</v>
      </c>
      <c r="N28" s="79">
        <f>VLOOKUP($C28,DATOS!$A$1:$O$1101,12,FALSE)</f>
        <v>96521100</v>
      </c>
      <c r="O28" s="79">
        <f>VLOOKUP($C28,DATOS!$A$1:$O$1101,13,FALSE)</f>
        <v>1173897600</v>
      </c>
      <c r="P28" s="80">
        <f t="shared" si="8"/>
        <v>0.95465373298917255</v>
      </c>
      <c r="Q28" s="81">
        <f t="shared" si="9"/>
        <v>1173897600</v>
      </c>
      <c r="R28" s="81">
        <f t="shared" ref="R28:R29" si="50">AG28</f>
        <v>1077376500</v>
      </c>
      <c r="S28" s="97">
        <v>96521100</v>
      </c>
      <c r="T28" s="81">
        <f t="shared" si="37"/>
        <v>0</v>
      </c>
      <c r="U28" s="81">
        <f t="shared" ref="U28:U29" si="51">+V28-L28</f>
        <v>0</v>
      </c>
      <c r="V28" s="81">
        <f t="shared" si="38"/>
        <v>1173897600</v>
      </c>
      <c r="W28" s="81">
        <f t="shared" ref="W28:W29" si="52">AH28</f>
        <v>1077376500</v>
      </c>
      <c r="X28" s="97">
        <v>96521100</v>
      </c>
      <c r="Y28" s="81">
        <f t="shared" si="1"/>
        <v>0</v>
      </c>
      <c r="Z28" s="81">
        <f t="shared" ref="Z28:Z29" si="53">SUM(AA28:AB28)</f>
        <v>1173897600</v>
      </c>
      <c r="AA28" s="81">
        <f t="shared" ref="AA28:AA29" si="54">AI28</f>
        <v>1077376500</v>
      </c>
      <c r="AB28" s="97">
        <v>96521100</v>
      </c>
      <c r="AC28" s="81">
        <f t="shared" si="2"/>
        <v>0</v>
      </c>
      <c r="AD28" s="81">
        <f t="shared" ref="AD28:AD29" si="55">+L28-O28</f>
        <v>0</v>
      </c>
      <c r="AE28" s="29">
        <f t="shared" si="12"/>
        <v>11</v>
      </c>
      <c r="AG28" s="29">
        <v>1077376500</v>
      </c>
      <c r="AH28" s="29">
        <v>1077376500</v>
      </c>
      <c r="AI28" s="29">
        <v>1077376500</v>
      </c>
      <c r="AK28" s="168">
        <f t="shared" si="13"/>
        <v>1</v>
      </c>
      <c r="AL28" s="168"/>
    </row>
    <row r="29" spans="1:38" x14ac:dyDescent="0.2">
      <c r="A29" s="77" t="s">
        <v>111</v>
      </c>
      <c r="B29" s="77" t="str">
        <f t="shared" si="3"/>
        <v>FUNCIONAMIENTO</v>
      </c>
      <c r="C29" s="78" t="s">
        <v>39</v>
      </c>
      <c r="D29" s="83" t="s">
        <v>144</v>
      </c>
      <c r="E29" s="79">
        <f>VLOOKUP($C29,DATOS!$A$1:$O$1101,3,FALSE)</f>
        <v>824934000</v>
      </c>
      <c r="F29" s="191">
        <f>VLOOKUP($C29,DATOS!$A$1:$O$1101,4,FALSE)</f>
        <v>0</v>
      </c>
      <c r="G29" s="79">
        <f>VLOOKUP($C29,DATOS!$A$1:$O$1101,5,FALSE)</f>
        <v>-200000000</v>
      </c>
      <c r="H29" s="79">
        <f t="shared" si="48"/>
        <v>624934000</v>
      </c>
      <c r="I29" s="79">
        <f>VLOOKUP($C29,DATOS!$A$1:$O$1101,7,FALSE)</f>
        <v>0</v>
      </c>
      <c r="J29" s="79">
        <f t="shared" si="49"/>
        <v>624934000</v>
      </c>
      <c r="K29" s="79">
        <f>VLOOKUP($C29,DATOS!$A$1:$O$1101,9,FALSE)</f>
        <v>49593400</v>
      </c>
      <c r="L29" s="79">
        <f>VLOOKUP($C29,DATOS!$A$1:$O$1101,10,FALSE)</f>
        <v>619600800</v>
      </c>
      <c r="M29" s="80">
        <f t="shared" si="7"/>
        <v>0.99146597880736209</v>
      </c>
      <c r="N29" s="79">
        <f>VLOOKUP($C29,DATOS!$A$1:$O$1101,12,FALSE)</f>
        <v>49593400</v>
      </c>
      <c r="O29" s="79">
        <f>VLOOKUP($C29,DATOS!$A$1:$O$1101,13,FALSE)</f>
        <v>619600800</v>
      </c>
      <c r="P29" s="80">
        <f t="shared" si="8"/>
        <v>0.99146597880736209</v>
      </c>
      <c r="Q29" s="81">
        <f t="shared" si="9"/>
        <v>619600800</v>
      </c>
      <c r="R29" s="81">
        <f t="shared" si="50"/>
        <v>570007400</v>
      </c>
      <c r="S29" s="97">
        <v>49593400</v>
      </c>
      <c r="T29" s="81">
        <f t="shared" si="37"/>
        <v>0</v>
      </c>
      <c r="U29" s="81">
        <f t="shared" si="51"/>
        <v>0</v>
      </c>
      <c r="V29" s="81">
        <f t="shared" si="38"/>
        <v>619600800</v>
      </c>
      <c r="W29" s="81">
        <f t="shared" si="52"/>
        <v>570007400</v>
      </c>
      <c r="X29" s="97">
        <v>49593400</v>
      </c>
      <c r="Y29" s="81">
        <f t="shared" si="1"/>
        <v>0</v>
      </c>
      <c r="Z29" s="81">
        <f t="shared" si="53"/>
        <v>619600800</v>
      </c>
      <c r="AA29" s="81">
        <f t="shared" si="54"/>
        <v>570007400</v>
      </c>
      <c r="AB29" s="97">
        <v>49593400</v>
      </c>
      <c r="AC29" s="81">
        <f t="shared" si="2"/>
        <v>0</v>
      </c>
      <c r="AD29" s="81">
        <f t="shared" si="55"/>
        <v>0</v>
      </c>
      <c r="AE29" s="29">
        <f t="shared" si="12"/>
        <v>11</v>
      </c>
      <c r="AG29" s="29">
        <v>570007400</v>
      </c>
      <c r="AH29" s="29">
        <v>570007400</v>
      </c>
      <c r="AI29" s="29">
        <v>570007400</v>
      </c>
      <c r="AK29" s="168">
        <f t="shared" si="13"/>
        <v>1</v>
      </c>
      <c r="AL29" s="168"/>
    </row>
    <row r="30" spans="1:38" hidden="1" x14ac:dyDescent="0.2">
      <c r="A30" s="75"/>
      <c r="B30" s="75" t="str">
        <f t="shared" si="3"/>
        <v>FUNCIONAMIENTO</v>
      </c>
      <c r="C30" s="59" t="s">
        <v>40</v>
      </c>
      <c r="D30" s="57" t="s">
        <v>41</v>
      </c>
      <c r="E30" s="60">
        <f>SUM(E31:E32)</f>
        <v>2690384000</v>
      </c>
      <c r="F30" s="60">
        <f t="shared" ref="F30:O30" si="56">SUM(F31:F32)</f>
        <v>0</v>
      </c>
      <c r="G30" s="60">
        <f t="shared" si="56"/>
        <v>-527732527</v>
      </c>
      <c r="H30" s="60">
        <f t="shared" si="5"/>
        <v>2162651473</v>
      </c>
      <c r="I30" s="60">
        <f t="shared" si="56"/>
        <v>0</v>
      </c>
      <c r="J30" s="60">
        <f t="shared" si="6"/>
        <v>2162651473</v>
      </c>
      <c r="K30" s="60">
        <f t="shared" si="56"/>
        <v>1024247282</v>
      </c>
      <c r="L30" s="60">
        <f t="shared" si="56"/>
        <v>1984247921</v>
      </c>
      <c r="M30" s="61">
        <f t="shared" si="7"/>
        <v>0.91750702587665633</v>
      </c>
      <c r="N30" s="60">
        <f t="shared" si="56"/>
        <v>0</v>
      </c>
      <c r="O30" s="60">
        <f t="shared" si="56"/>
        <v>960000639</v>
      </c>
      <c r="P30" s="61">
        <f t="shared" si="8"/>
        <v>0.4438998382241871</v>
      </c>
      <c r="Q30" s="84">
        <f t="shared" si="9"/>
        <v>1984247921</v>
      </c>
      <c r="R30" s="84">
        <f>SUM(R31:R32)</f>
        <v>960000639</v>
      </c>
      <c r="S30" s="84">
        <f>SUM(S31:S32)</f>
        <v>1024247282</v>
      </c>
      <c r="T30" s="84">
        <f t="shared" si="37"/>
        <v>0</v>
      </c>
      <c r="U30" s="84">
        <f t="shared" si="22"/>
        <v>0</v>
      </c>
      <c r="V30" s="84">
        <f t="shared" si="38"/>
        <v>1984247921</v>
      </c>
      <c r="W30" s="84">
        <f>SUM(W31:W32)</f>
        <v>960000639</v>
      </c>
      <c r="X30" s="74">
        <f>SUM(X31:X32)</f>
        <v>1024247282</v>
      </c>
      <c r="Y30" s="84">
        <f t="shared" si="1"/>
        <v>0</v>
      </c>
      <c r="Z30" s="84">
        <f t="shared" si="11"/>
        <v>960000639</v>
      </c>
      <c r="AA30" s="84">
        <f>SUM(AA31:AA32)</f>
        <v>960000639</v>
      </c>
      <c r="AB30" s="84">
        <f>SUM(AB31:AB32)</f>
        <v>0</v>
      </c>
      <c r="AC30" s="84">
        <f t="shared" si="2"/>
        <v>0</v>
      </c>
      <c r="AD30" s="84">
        <f t="shared" si="23"/>
        <v>1024247282</v>
      </c>
      <c r="AE30" s="29">
        <f t="shared" si="12"/>
        <v>11</v>
      </c>
      <c r="AG30" s="29">
        <v>960000639</v>
      </c>
      <c r="AH30" s="29">
        <v>960000639</v>
      </c>
      <c r="AI30" s="29">
        <v>960000639</v>
      </c>
      <c r="AK30" s="168">
        <f t="shared" si="13"/>
        <v>1</v>
      </c>
      <c r="AL30" s="168"/>
    </row>
    <row r="31" spans="1:38" x14ac:dyDescent="0.2">
      <c r="A31" s="77" t="s">
        <v>111</v>
      </c>
      <c r="B31" s="77" t="str">
        <f t="shared" si="3"/>
        <v>FUNCIONAMIENTO</v>
      </c>
      <c r="C31" s="78" t="s">
        <v>42</v>
      </c>
      <c r="D31" s="83" t="s">
        <v>145</v>
      </c>
      <c r="E31" s="79">
        <f>VLOOKUP($C31,DATOS!$A$1:$O$1101,3,FALSE)</f>
        <v>1190384000</v>
      </c>
      <c r="F31" s="191">
        <f>VLOOKUP($C31,DATOS!$A$1:$O$1101,4,FALSE)</f>
        <v>0</v>
      </c>
      <c r="G31" s="79">
        <f>VLOOKUP($C31,DATOS!$A$1:$O$1101,5,FALSE)</f>
        <v>100000000</v>
      </c>
      <c r="H31" s="79">
        <f t="shared" ref="H31:H36" si="57">E31+G31</f>
        <v>1290384000</v>
      </c>
      <c r="I31" s="79">
        <f>VLOOKUP($C31,DATOS!$A$1:$O$1101,7,FALSE)</f>
        <v>0</v>
      </c>
      <c r="J31" s="79">
        <f t="shared" ref="J31:J36" si="58">H31-I31</f>
        <v>1290384000</v>
      </c>
      <c r="K31" s="79">
        <f>VLOOKUP($C31,DATOS!$A$1:$O$1101,9,FALSE)</f>
        <v>1024247282</v>
      </c>
      <c r="L31" s="79">
        <f>VLOOKUP($C31,DATOS!$A$1:$O$1101,10,FALSE)</f>
        <v>1111980448</v>
      </c>
      <c r="M31" s="80">
        <f t="shared" si="7"/>
        <v>0.86174382819377793</v>
      </c>
      <c r="N31" s="79">
        <f>VLOOKUP($C31,DATOS!$A$1:$O$1101,12,FALSE)</f>
        <v>0</v>
      </c>
      <c r="O31" s="79">
        <f>VLOOKUP($C31,DATOS!$A$1:$O$1101,13,FALSE)</f>
        <v>87733166</v>
      </c>
      <c r="P31" s="80">
        <f t="shared" si="8"/>
        <v>6.7989967327555204E-2</v>
      </c>
      <c r="Q31" s="81">
        <f t="shared" si="9"/>
        <v>1111980448</v>
      </c>
      <c r="R31" s="81">
        <f t="shared" ref="R31:R36" si="59">AG31</f>
        <v>87733166</v>
      </c>
      <c r="S31" s="97">
        <v>1024247282</v>
      </c>
      <c r="T31" s="81">
        <f t="shared" si="37"/>
        <v>0</v>
      </c>
      <c r="U31" s="81">
        <f t="shared" ref="U31:U36" si="60">+V31-L31</f>
        <v>0</v>
      </c>
      <c r="V31" s="81">
        <f t="shared" si="38"/>
        <v>1111980448</v>
      </c>
      <c r="W31" s="81">
        <f t="shared" ref="W31:W36" si="61">AH31</f>
        <v>87733166</v>
      </c>
      <c r="X31" s="97">
        <v>1024247282</v>
      </c>
      <c r="Y31" s="81">
        <f t="shared" si="1"/>
        <v>0</v>
      </c>
      <c r="Z31" s="81">
        <f t="shared" ref="Z31:Z36" si="62">SUM(AA31:AB31)</f>
        <v>87733166</v>
      </c>
      <c r="AA31" s="81">
        <f t="shared" ref="AA31:AA36" si="63">AI31</f>
        <v>87733166</v>
      </c>
      <c r="AB31" s="97">
        <v>0</v>
      </c>
      <c r="AC31" s="81">
        <f t="shared" si="2"/>
        <v>0</v>
      </c>
      <c r="AD31" s="81">
        <f t="shared" ref="AD31:AD36" si="64">+L31-O31</f>
        <v>1024247282</v>
      </c>
      <c r="AE31" s="29">
        <f t="shared" si="12"/>
        <v>12</v>
      </c>
      <c r="AG31" s="29">
        <v>87733166</v>
      </c>
      <c r="AH31" s="29">
        <v>87733166</v>
      </c>
      <c r="AI31" s="29">
        <v>87733166</v>
      </c>
      <c r="AK31" s="168">
        <f t="shared" si="13"/>
        <v>1</v>
      </c>
      <c r="AL31" s="168"/>
    </row>
    <row r="32" spans="1:38" x14ac:dyDescent="0.2">
      <c r="A32" s="66" t="s">
        <v>112</v>
      </c>
      <c r="B32" s="66" t="str">
        <f t="shared" si="3"/>
        <v>FUNCIONAMIENTO</v>
      </c>
      <c r="C32" s="67" t="s">
        <v>43</v>
      </c>
      <c r="D32" s="71" t="s">
        <v>146</v>
      </c>
      <c r="E32" s="68">
        <f>VLOOKUP($C32,DATOS!$A$1:$O$1101,3,FALSE)</f>
        <v>1500000000</v>
      </c>
      <c r="F32" s="192">
        <f>VLOOKUP($C32,DATOS!$A$1:$O$1101,4,FALSE)</f>
        <v>0</v>
      </c>
      <c r="G32" s="68">
        <f>VLOOKUP($C32,DATOS!$A$1:$O$1101,5,FALSE)</f>
        <v>-627732527</v>
      </c>
      <c r="H32" s="130">
        <f t="shared" si="57"/>
        <v>872267473</v>
      </c>
      <c r="I32" s="68">
        <f>VLOOKUP($C32,DATOS!$A$1:$O$1101,7,FALSE)</f>
        <v>0</v>
      </c>
      <c r="J32" s="68">
        <f t="shared" si="58"/>
        <v>872267473</v>
      </c>
      <c r="K32" s="68">
        <f>VLOOKUP($C32,DATOS!$A$1:$O$1101,9,FALSE)</f>
        <v>0</v>
      </c>
      <c r="L32" s="68">
        <f>VLOOKUP($C32,DATOS!$A$1:$O$1101,10,FALSE)</f>
        <v>872267473</v>
      </c>
      <c r="M32" s="69">
        <f t="shared" si="7"/>
        <v>1</v>
      </c>
      <c r="N32" s="68">
        <f>VLOOKUP($C32,DATOS!$A$1:$O$1101,12,FALSE)</f>
        <v>0</v>
      </c>
      <c r="O32" s="68">
        <f>VLOOKUP($C32,DATOS!$A$1:$O$1101,13,FALSE)</f>
        <v>872267473</v>
      </c>
      <c r="P32" s="69">
        <f t="shared" si="8"/>
        <v>1</v>
      </c>
      <c r="Q32" s="72">
        <f t="shared" si="9"/>
        <v>872267473</v>
      </c>
      <c r="R32" s="72">
        <f t="shared" si="59"/>
        <v>872267473</v>
      </c>
      <c r="S32" s="97">
        <v>0</v>
      </c>
      <c r="T32" s="72">
        <f t="shared" si="37"/>
        <v>0</v>
      </c>
      <c r="U32" s="72">
        <f t="shared" si="60"/>
        <v>0</v>
      </c>
      <c r="V32" s="72">
        <f t="shared" si="38"/>
        <v>872267473</v>
      </c>
      <c r="W32" s="72">
        <f t="shared" si="61"/>
        <v>872267473</v>
      </c>
      <c r="X32" s="97">
        <v>0</v>
      </c>
      <c r="Y32" s="72">
        <f t="shared" si="1"/>
        <v>0</v>
      </c>
      <c r="Z32" s="72">
        <f t="shared" si="62"/>
        <v>872267473</v>
      </c>
      <c r="AA32" s="72">
        <f t="shared" si="63"/>
        <v>872267473</v>
      </c>
      <c r="AB32" s="97">
        <v>0</v>
      </c>
      <c r="AC32" s="72">
        <f t="shared" si="2"/>
        <v>0</v>
      </c>
      <c r="AD32" s="72">
        <f t="shared" si="64"/>
        <v>0</v>
      </c>
      <c r="AE32" s="29">
        <f t="shared" si="12"/>
        <v>12</v>
      </c>
      <c r="AG32" s="29">
        <v>872267473</v>
      </c>
      <c r="AH32" s="29">
        <v>872267473</v>
      </c>
      <c r="AI32" s="29">
        <v>872267473</v>
      </c>
      <c r="AK32" s="168">
        <f t="shared" si="13"/>
        <v>0</v>
      </c>
      <c r="AL32" s="168"/>
    </row>
    <row r="33" spans="1:38" x14ac:dyDescent="0.2">
      <c r="A33" s="77" t="s">
        <v>111</v>
      </c>
      <c r="B33" s="77" t="str">
        <f t="shared" si="3"/>
        <v>FUNCIONAMIENTO</v>
      </c>
      <c r="C33" s="78" t="s">
        <v>44</v>
      </c>
      <c r="D33" s="83" t="s">
        <v>147</v>
      </c>
      <c r="E33" s="79">
        <f>VLOOKUP($C33,DATOS!$A$1:$O$1101,3,FALSE)</f>
        <v>480938000</v>
      </c>
      <c r="F33" s="191">
        <f>VLOOKUP($C33,DATOS!$A$1:$O$1101,4,FALSE)</f>
        <v>0</v>
      </c>
      <c r="G33" s="79">
        <f>VLOOKUP($C33,DATOS!$A$1:$O$1101,5,FALSE)</f>
        <v>30000000</v>
      </c>
      <c r="H33" s="79">
        <f t="shared" si="57"/>
        <v>510938000</v>
      </c>
      <c r="I33" s="79">
        <f>VLOOKUP($C33,DATOS!$A$1:$O$1101,7,FALSE)</f>
        <v>0</v>
      </c>
      <c r="J33" s="79">
        <f t="shared" si="58"/>
        <v>510938000</v>
      </c>
      <c r="K33" s="79">
        <f>VLOOKUP($C33,DATOS!$A$1:$O$1101,9,FALSE)</f>
        <v>36054300</v>
      </c>
      <c r="L33" s="79">
        <f>VLOOKUP($C33,DATOS!$A$1:$O$1101,10,FALSE)</f>
        <v>453635400</v>
      </c>
      <c r="M33" s="80">
        <f t="shared" si="7"/>
        <v>0.88784823207512453</v>
      </c>
      <c r="N33" s="79">
        <f>VLOOKUP($C33,DATOS!$A$1:$O$1101,12,FALSE)</f>
        <v>36054300</v>
      </c>
      <c r="O33" s="79">
        <f>VLOOKUP($C33,DATOS!$A$1:$O$1101,13,FALSE)</f>
        <v>453635400</v>
      </c>
      <c r="P33" s="80">
        <f t="shared" si="8"/>
        <v>0.88784823207512453</v>
      </c>
      <c r="Q33" s="81">
        <f t="shared" si="9"/>
        <v>453635400</v>
      </c>
      <c r="R33" s="81">
        <f t="shared" si="59"/>
        <v>417581100</v>
      </c>
      <c r="S33" s="97">
        <v>36054300</v>
      </c>
      <c r="T33" s="81">
        <f t="shared" si="37"/>
        <v>0</v>
      </c>
      <c r="U33" s="81">
        <f t="shared" si="60"/>
        <v>0</v>
      </c>
      <c r="V33" s="81">
        <f t="shared" si="38"/>
        <v>453635400</v>
      </c>
      <c r="W33" s="81">
        <f t="shared" si="61"/>
        <v>417581100</v>
      </c>
      <c r="X33" s="97">
        <v>36054300</v>
      </c>
      <c r="Y33" s="81">
        <f t="shared" si="1"/>
        <v>0</v>
      </c>
      <c r="Z33" s="81">
        <f t="shared" si="62"/>
        <v>453635400</v>
      </c>
      <c r="AA33" s="81">
        <f t="shared" si="63"/>
        <v>417581100</v>
      </c>
      <c r="AB33" s="97">
        <v>36054300</v>
      </c>
      <c r="AC33" s="81">
        <f t="shared" si="2"/>
        <v>0</v>
      </c>
      <c r="AD33" s="81">
        <f t="shared" si="64"/>
        <v>0</v>
      </c>
      <c r="AE33" s="29">
        <f t="shared" si="12"/>
        <v>11</v>
      </c>
      <c r="AG33" s="29">
        <v>417581100</v>
      </c>
      <c r="AH33" s="29">
        <v>417581100</v>
      </c>
      <c r="AI33" s="29">
        <v>417581100</v>
      </c>
      <c r="AK33" s="168">
        <f t="shared" si="13"/>
        <v>1</v>
      </c>
      <c r="AL33" s="168"/>
    </row>
    <row r="34" spans="1:38" ht="36" x14ac:dyDescent="0.2">
      <c r="A34" s="77" t="s">
        <v>111</v>
      </c>
      <c r="B34" s="77" t="str">
        <f t="shared" si="3"/>
        <v>FUNCIONAMIENTO</v>
      </c>
      <c r="C34" s="78" t="s">
        <v>45</v>
      </c>
      <c r="D34" s="82" t="s">
        <v>148</v>
      </c>
      <c r="E34" s="79">
        <f>VLOOKUP($C34,DATOS!$A$1:$O$1101,3,FALSE)</f>
        <v>301740000</v>
      </c>
      <c r="F34" s="191">
        <f>VLOOKUP($C34,DATOS!$A$1:$O$1101,4,FALSE)</f>
        <v>0</v>
      </c>
      <c r="G34" s="79">
        <f>VLOOKUP($C34,DATOS!$A$1:$O$1101,5,FALSE)</f>
        <v>-100000000</v>
      </c>
      <c r="H34" s="79">
        <f t="shared" si="57"/>
        <v>201740000</v>
      </c>
      <c r="I34" s="79">
        <f>VLOOKUP($C34,DATOS!$A$1:$O$1101,7,FALSE)</f>
        <v>0</v>
      </c>
      <c r="J34" s="79">
        <f t="shared" si="58"/>
        <v>201740000</v>
      </c>
      <c r="K34" s="79">
        <f>VLOOKUP($C34,DATOS!$A$1:$O$1101,9,FALSE)</f>
        <v>15312700</v>
      </c>
      <c r="L34" s="79">
        <f>VLOOKUP($C34,DATOS!$A$1:$O$1101,10,FALSE)</f>
        <v>180287000</v>
      </c>
      <c r="M34" s="80">
        <f t="shared" si="7"/>
        <v>0.89366015663725584</v>
      </c>
      <c r="N34" s="79">
        <f>VLOOKUP($C34,DATOS!$A$1:$O$1101,12,FALSE)</f>
        <v>15312700</v>
      </c>
      <c r="O34" s="79">
        <f>VLOOKUP($C34,DATOS!$A$1:$O$1101,13,FALSE)</f>
        <v>180287000</v>
      </c>
      <c r="P34" s="80">
        <f t="shared" si="8"/>
        <v>0.89366015663725584</v>
      </c>
      <c r="Q34" s="81">
        <f t="shared" si="9"/>
        <v>180287000</v>
      </c>
      <c r="R34" s="81">
        <f t="shared" si="59"/>
        <v>164974300</v>
      </c>
      <c r="S34" s="97">
        <v>15312700</v>
      </c>
      <c r="T34" s="81">
        <f t="shared" si="37"/>
        <v>0</v>
      </c>
      <c r="U34" s="81">
        <f t="shared" si="60"/>
        <v>0</v>
      </c>
      <c r="V34" s="81">
        <f t="shared" si="38"/>
        <v>180287000</v>
      </c>
      <c r="W34" s="81">
        <f t="shared" si="61"/>
        <v>164974300</v>
      </c>
      <c r="X34" s="97">
        <v>15312700</v>
      </c>
      <c r="Y34" s="81">
        <f t="shared" si="1"/>
        <v>0</v>
      </c>
      <c r="Z34" s="81">
        <f t="shared" si="62"/>
        <v>180287000</v>
      </c>
      <c r="AA34" s="81">
        <f t="shared" si="63"/>
        <v>164974300</v>
      </c>
      <c r="AB34" s="97">
        <v>15312700</v>
      </c>
      <c r="AC34" s="81">
        <f t="shared" si="2"/>
        <v>0</v>
      </c>
      <c r="AD34" s="81">
        <f t="shared" si="64"/>
        <v>0</v>
      </c>
      <c r="AE34" s="29">
        <f t="shared" si="12"/>
        <v>11</v>
      </c>
      <c r="AG34" s="29">
        <v>164974300</v>
      </c>
      <c r="AH34" s="29">
        <v>164974300</v>
      </c>
      <c r="AI34" s="29">
        <v>164974300</v>
      </c>
      <c r="AK34" s="168">
        <f t="shared" si="13"/>
        <v>1</v>
      </c>
      <c r="AL34" s="168"/>
    </row>
    <row r="35" spans="1:38" x14ac:dyDescent="0.2">
      <c r="A35" s="77" t="s">
        <v>111</v>
      </c>
      <c r="B35" s="77" t="str">
        <f t="shared" si="3"/>
        <v>FUNCIONAMIENTO</v>
      </c>
      <c r="C35" s="78" t="s">
        <v>46</v>
      </c>
      <c r="D35" s="83" t="s">
        <v>149</v>
      </c>
      <c r="E35" s="79">
        <f>VLOOKUP($C35,DATOS!$A$1:$O$1101,3,FALSE)</f>
        <v>326179000</v>
      </c>
      <c r="F35" s="191">
        <f>VLOOKUP($C35,DATOS!$A$1:$O$1101,4,FALSE)</f>
        <v>0</v>
      </c>
      <c r="G35" s="79">
        <f>VLOOKUP($C35,DATOS!$A$1:$O$1101,5,FALSE)</f>
        <v>-20000000</v>
      </c>
      <c r="H35" s="79">
        <f t="shared" si="57"/>
        <v>306179000</v>
      </c>
      <c r="I35" s="79">
        <f>VLOOKUP($C35,DATOS!$A$1:$O$1101,7,FALSE)</f>
        <v>0</v>
      </c>
      <c r="J35" s="79">
        <f t="shared" si="58"/>
        <v>306179000</v>
      </c>
      <c r="K35" s="79">
        <f>VLOOKUP($C35,DATOS!$A$1:$O$1101,9,FALSE)</f>
        <v>20467100</v>
      </c>
      <c r="L35" s="79">
        <f>VLOOKUP($C35,DATOS!$A$1:$O$1101,10,FALSE)</f>
        <v>259857500</v>
      </c>
      <c r="M35" s="80">
        <f t="shared" si="7"/>
        <v>0.84871104811237874</v>
      </c>
      <c r="N35" s="79">
        <f>VLOOKUP($C35,DATOS!$A$1:$O$1101,12,FALSE)</f>
        <v>20467100</v>
      </c>
      <c r="O35" s="79">
        <f>VLOOKUP($C35,DATOS!$A$1:$O$1101,13,FALSE)</f>
        <v>259857500</v>
      </c>
      <c r="P35" s="80">
        <f t="shared" si="8"/>
        <v>0.84871104811237874</v>
      </c>
      <c r="Q35" s="81">
        <f t="shared" si="9"/>
        <v>259857500</v>
      </c>
      <c r="R35" s="81">
        <f t="shared" si="59"/>
        <v>239390400</v>
      </c>
      <c r="S35" s="97">
        <v>20467100</v>
      </c>
      <c r="T35" s="81">
        <f t="shared" si="37"/>
        <v>0</v>
      </c>
      <c r="U35" s="81">
        <f t="shared" si="60"/>
        <v>0</v>
      </c>
      <c r="V35" s="81">
        <f t="shared" si="38"/>
        <v>259857500</v>
      </c>
      <c r="W35" s="81">
        <f t="shared" si="61"/>
        <v>239390400</v>
      </c>
      <c r="X35" s="97">
        <v>20467100</v>
      </c>
      <c r="Y35" s="81">
        <f t="shared" si="1"/>
        <v>0</v>
      </c>
      <c r="Z35" s="81">
        <f t="shared" si="62"/>
        <v>259857500</v>
      </c>
      <c r="AA35" s="81">
        <f t="shared" si="63"/>
        <v>239390400</v>
      </c>
      <c r="AB35" s="97">
        <v>20467100</v>
      </c>
      <c r="AC35" s="81">
        <f t="shared" si="2"/>
        <v>0</v>
      </c>
      <c r="AD35" s="81">
        <f t="shared" si="64"/>
        <v>0</v>
      </c>
      <c r="AE35" s="29">
        <f t="shared" si="12"/>
        <v>11</v>
      </c>
      <c r="AG35" s="29">
        <v>239390400</v>
      </c>
      <c r="AH35" s="29">
        <v>239390400</v>
      </c>
      <c r="AI35" s="29">
        <v>239390400</v>
      </c>
      <c r="AK35" s="168">
        <f t="shared" si="13"/>
        <v>1</v>
      </c>
      <c r="AL35" s="168"/>
    </row>
    <row r="36" spans="1:38" x14ac:dyDescent="0.2">
      <c r="A36" s="77" t="s">
        <v>111</v>
      </c>
      <c r="B36" s="77" t="str">
        <f t="shared" si="3"/>
        <v>FUNCIONAMIENTO</v>
      </c>
      <c r="C36" s="78" t="s">
        <v>47</v>
      </c>
      <c r="D36" s="83" t="s">
        <v>150</v>
      </c>
      <c r="E36" s="79">
        <f>VLOOKUP($C36,DATOS!$A$1:$O$1101,3,FALSE)</f>
        <v>217453000</v>
      </c>
      <c r="F36" s="191">
        <f>VLOOKUP($C36,DATOS!$A$1:$O$1101,4,FALSE)</f>
        <v>0</v>
      </c>
      <c r="G36" s="79">
        <f>VLOOKUP($C36,DATOS!$A$1:$O$1101,5,FALSE)</f>
        <v>-15000000</v>
      </c>
      <c r="H36" s="79">
        <f t="shared" si="57"/>
        <v>202453000</v>
      </c>
      <c r="I36" s="79">
        <f>VLOOKUP($C36,DATOS!$A$1:$O$1101,7,FALSE)</f>
        <v>0</v>
      </c>
      <c r="J36" s="79">
        <f t="shared" si="58"/>
        <v>202453000</v>
      </c>
      <c r="K36" s="79">
        <f>VLOOKUP($C36,DATOS!$A$1:$O$1101,9,FALSE)</f>
        <v>13645600</v>
      </c>
      <c r="L36" s="79">
        <f>VLOOKUP($C36,DATOS!$A$1:$O$1101,10,FALSE)</f>
        <v>173248700</v>
      </c>
      <c r="M36" s="80">
        <f t="shared" si="7"/>
        <v>0.85574775379964729</v>
      </c>
      <c r="N36" s="79">
        <f>VLOOKUP($C36,DATOS!$A$1:$O$1101,12,FALSE)</f>
        <v>13645600</v>
      </c>
      <c r="O36" s="79">
        <f>VLOOKUP($C36,DATOS!$A$1:$O$1101,13,FALSE)</f>
        <v>173248700</v>
      </c>
      <c r="P36" s="80">
        <f t="shared" si="8"/>
        <v>0.85574775379964729</v>
      </c>
      <c r="Q36" s="81">
        <f t="shared" si="9"/>
        <v>173248700</v>
      </c>
      <c r="R36" s="81">
        <f t="shared" si="59"/>
        <v>159603100</v>
      </c>
      <c r="S36" s="97">
        <v>13645600</v>
      </c>
      <c r="T36" s="81">
        <f t="shared" si="37"/>
        <v>0</v>
      </c>
      <c r="U36" s="81">
        <f t="shared" si="60"/>
        <v>0</v>
      </c>
      <c r="V36" s="81">
        <f t="shared" si="38"/>
        <v>173248700</v>
      </c>
      <c r="W36" s="81">
        <f t="shared" si="61"/>
        <v>159603100</v>
      </c>
      <c r="X36" s="97">
        <v>13645600</v>
      </c>
      <c r="Y36" s="81">
        <f t="shared" si="1"/>
        <v>0</v>
      </c>
      <c r="Z36" s="81">
        <f t="shared" si="62"/>
        <v>173248700</v>
      </c>
      <c r="AA36" s="81">
        <f t="shared" si="63"/>
        <v>159603100</v>
      </c>
      <c r="AB36" s="97">
        <v>13645600</v>
      </c>
      <c r="AC36" s="81">
        <f t="shared" si="2"/>
        <v>0</v>
      </c>
      <c r="AD36" s="81">
        <f t="shared" si="64"/>
        <v>0</v>
      </c>
      <c r="AE36" s="29">
        <f t="shared" si="12"/>
        <v>11</v>
      </c>
      <c r="AG36" s="29">
        <v>159603100</v>
      </c>
      <c r="AH36" s="29">
        <v>159603100</v>
      </c>
      <c r="AI36" s="29">
        <v>159603100</v>
      </c>
      <c r="AK36" s="168">
        <f t="shared" si="13"/>
        <v>1</v>
      </c>
      <c r="AL36" s="168"/>
    </row>
    <row r="37" spans="1:38" ht="36" hidden="1" x14ac:dyDescent="0.2">
      <c r="A37" s="75"/>
      <c r="B37" s="75" t="str">
        <f t="shared" si="3"/>
        <v>FUNCIONAMIENTO</v>
      </c>
      <c r="C37" s="59" t="s">
        <v>48</v>
      </c>
      <c r="D37" s="58" t="s">
        <v>151</v>
      </c>
      <c r="E37" s="60">
        <f>E38+E41</f>
        <v>292481000</v>
      </c>
      <c r="F37" s="60">
        <f t="shared" ref="F37:O37" si="65">F38+F41</f>
        <v>0</v>
      </c>
      <c r="G37" s="60">
        <f t="shared" si="65"/>
        <v>73000000</v>
      </c>
      <c r="H37" s="60">
        <f t="shared" si="5"/>
        <v>365481000</v>
      </c>
      <c r="I37" s="60">
        <f t="shared" si="65"/>
        <v>0</v>
      </c>
      <c r="J37" s="60">
        <f t="shared" si="6"/>
        <v>365481000</v>
      </c>
      <c r="K37" s="60">
        <f t="shared" si="65"/>
        <v>9376143</v>
      </c>
      <c r="L37" s="60">
        <f t="shared" si="65"/>
        <v>234688845</v>
      </c>
      <c r="M37" s="61">
        <f t="shared" si="7"/>
        <v>0.64213692367045072</v>
      </c>
      <c r="N37" s="60">
        <f t="shared" si="65"/>
        <v>9376143</v>
      </c>
      <c r="O37" s="60">
        <f t="shared" si="65"/>
        <v>234688845</v>
      </c>
      <c r="P37" s="61">
        <f t="shared" si="8"/>
        <v>0.64213692367045072</v>
      </c>
      <c r="Q37" s="84">
        <f t="shared" si="9"/>
        <v>234688845</v>
      </c>
      <c r="R37" s="84">
        <f>R38+R41</f>
        <v>225312702</v>
      </c>
      <c r="S37" s="84">
        <f>S38+S41</f>
        <v>9376143</v>
      </c>
      <c r="T37" s="84">
        <f t="shared" si="37"/>
        <v>0</v>
      </c>
      <c r="U37" s="84">
        <f t="shared" si="22"/>
        <v>0</v>
      </c>
      <c r="V37" s="84">
        <f t="shared" si="38"/>
        <v>234688845</v>
      </c>
      <c r="W37" s="84">
        <f>W38+W41</f>
        <v>225312702</v>
      </c>
      <c r="X37" s="74">
        <f>X38+X41</f>
        <v>9376143</v>
      </c>
      <c r="Y37" s="84">
        <f t="shared" si="1"/>
        <v>0</v>
      </c>
      <c r="Z37" s="84">
        <f t="shared" si="11"/>
        <v>234688845</v>
      </c>
      <c r="AA37" s="84">
        <f>AA38+AA41</f>
        <v>225312702</v>
      </c>
      <c r="AB37" s="84">
        <f>AB38+AB41</f>
        <v>9376143</v>
      </c>
      <c r="AC37" s="84">
        <f t="shared" si="2"/>
        <v>0</v>
      </c>
      <c r="AD37" s="84">
        <f t="shared" si="23"/>
        <v>0</v>
      </c>
      <c r="AE37" s="29">
        <f t="shared" si="12"/>
        <v>8</v>
      </c>
      <c r="AG37" s="29">
        <v>225312702</v>
      </c>
      <c r="AH37" s="29">
        <v>225312702</v>
      </c>
      <c r="AI37" s="29">
        <v>225312702</v>
      </c>
      <c r="AK37" s="168">
        <f t="shared" si="13"/>
        <v>1</v>
      </c>
      <c r="AL37" s="168"/>
    </row>
    <row r="38" spans="1:38" hidden="1" x14ac:dyDescent="0.2">
      <c r="A38" s="75"/>
      <c r="B38" s="75" t="str">
        <f t="shared" si="3"/>
        <v>FUNCIONAMIENTO</v>
      </c>
      <c r="C38" s="59" t="s">
        <v>49</v>
      </c>
      <c r="D38" s="57" t="s">
        <v>33</v>
      </c>
      <c r="E38" s="60">
        <f>SUM(E39:E40)+E42</f>
        <v>242481000</v>
      </c>
      <c r="F38" s="60">
        <f t="shared" ref="F38:O38" si="66">SUM(F39:F40)+F42</f>
        <v>0</v>
      </c>
      <c r="G38" s="60">
        <f t="shared" si="66"/>
        <v>101000000</v>
      </c>
      <c r="H38" s="60">
        <f t="shared" si="5"/>
        <v>343481000</v>
      </c>
      <c r="I38" s="60">
        <f t="shared" si="66"/>
        <v>0</v>
      </c>
      <c r="J38" s="60">
        <f t="shared" si="6"/>
        <v>343481000</v>
      </c>
      <c r="K38" s="60">
        <f t="shared" si="66"/>
        <v>5616768</v>
      </c>
      <c r="L38" s="60">
        <f t="shared" si="66"/>
        <v>217270456</v>
      </c>
      <c r="M38" s="61">
        <f t="shared" si="7"/>
        <v>0.63255451102098803</v>
      </c>
      <c r="N38" s="60">
        <f t="shared" si="66"/>
        <v>5616768</v>
      </c>
      <c r="O38" s="60">
        <f t="shared" si="66"/>
        <v>217270456</v>
      </c>
      <c r="P38" s="61">
        <f t="shared" si="8"/>
        <v>0.63255451102098803</v>
      </c>
      <c r="Q38" s="84">
        <f t="shared" si="9"/>
        <v>217270456</v>
      </c>
      <c r="R38" s="84">
        <f>SUM(R39:R40)+R42</f>
        <v>211653688</v>
      </c>
      <c r="S38" s="84">
        <f>SUM(S39:S40)+S42</f>
        <v>5616768</v>
      </c>
      <c r="T38" s="84">
        <f t="shared" si="37"/>
        <v>0</v>
      </c>
      <c r="U38" s="84">
        <f t="shared" si="22"/>
        <v>0</v>
      </c>
      <c r="V38" s="84">
        <f t="shared" si="38"/>
        <v>217270456</v>
      </c>
      <c r="W38" s="84">
        <f>SUM(W39:W40)+W42</f>
        <v>211653688</v>
      </c>
      <c r="X38" s="74">
        <f>SUM(X39:X40)+X42</f>
        <v>5616768</v>
      </c>
      <c r="Y38" s="84">
        <f t="shared" si="1"/>
        <v>0</v>
      </c>
      <c r="Z38" s="84">
        <f t="shared" si="11"/>
        <v>217270456</v>
      </c>
      <c r="AA38" s="84">
        <f>SUM(AA39:AA40)+AA42</f>
        <v>211653688</v>
      </c>
      <c r="AB38" s="84">
        <f>SUM(AB39:AB40)+AB42</f>
        <v>5616768</v>
      </c>
      <c r="AC38" s="84">
        <f t="shared" si="2"/>
        <v>0</v>
      </c>
      <c r="AD38" s="84">
        <f t="shared" si="23"/>
        <v>0</v>
      </c>
      <c r="AE38" s="29">
        <f t="shared" si="12"/>
        <v>11</v>
      </c>
      <c r="AG38" s="29">
        <v>211653688</v>
      </c>
      <c r="AH38" s="29">
        <v>211653688</v>
      </c>
      <c r="AI38" s="29">
        <v>211653688</v>
      </c>
      <c r="AK38" s="168">
        <f t="shared" si="13"/>
        <v>1</v>
      </c>
      <c r="AL38" s="168"/>
    </row>
    <row r="39" spans="1:38" x14ac:dyDescent="0.2">
      <c r="A39" s="77" t="s">
        <v>111</v>
      </c>
      <c r="B39" s="77" t="str">
        <f t="shared" si="3"/>
        <v>FUNCIONAMIENTO</v>
      </c>
      <c r="C39" s="78" t="s">
        <v>50</v>
      </c>
      <c r="D39" s="82" t="s">
        <v>152</v>
      </c>
      <c r="E39" s="79">
        <f>VLOOKUP($C39,DATOS!$A$1:$O$1101,3,FALSE)</f>
        <v>100000000</v>
      </c>
      <c r="F39" s="191">
        <f>VLOOKUP($C39,DATOS!$A$1:$O$1101,4,FALSE)</f>
        <v>0</v>
      </c>
      <c r="G39" s="79">
        <f>VLOOKUP($C39,DATOS!$A$1:$O$1101,5,FALSE)</f>
        <v>190000000</v>
      </c>
      <c r="H39" s="79">
        <f t="shared" ref="H39:H42" si="67">E39+G39</f>
        <v>290000000</v>
      </c>
      <c r="I39" s="79">
        <f>VLOOKUP($C39,DATOS!$A$1:$O$1101,7,FALSE)</f>
        <v>0</v>
      </c>
      <c r="J39" s="79">
        <f t="shared" ref="J39:J42" si="68">H39-I39</f>
        <v>290000000</v>
      </c>
      <c r="K39" s="79">
        <f>VLOOKUP($C39,DATOS!$A$1:$O$1101,9,FALSE)</f>
        <v>0</v>
      </c>
      <c r="L39" s="79">
        <f>VLOOKUP($C39,DATOS!$A$1:$O$1101,10,FALSE)</f>
        <v>170761611</v>
      </c>
      <c r="M39" s="80">
        <f t="shared" si="7"/>
        <v>0.58883314137931031</v>
      </c>
      <c r="N39" s="79">
        <f>VLOOKUP($C39,DATOS!$A$1:$O$1101,12,FALSE)</f>
        <v>0</v>
      </c>
      <c r="O39" s="79">
        <f>VLOOKUP($C39,DATOS!$A$1:$O$1101,13,FALSE)</f>
        <v>170761611</v>
      </c>
      <c r="P39" s="80">
        <f t="shared" si="8"/>
        <v>0.58883314137931031</v>
      </c>
      <c r="Q39" s="81">
        <f t="shared" si="9"/>
        <v>170761611</v>
      </c>
      <c r="R39" s="81">
        <f t="shared" ref="R39:R42" si="69">AG39</f>
        <v>170761611</v>
      </c>
      <c r="S39" s="97">
        <v>0</v>
      </c>
      <c r="T39" s="81">
        <f t="shared" si="37"/>
        <v>0</v>
      </c>
      <c r="U39" s="81">
        <f t="shared" ref="U39:U42" si="70">+V39-L39</f>
        <v>0</v>
      </c>
      <c r="V39" s="81">
        <f t="shared" si="38"/>
        <v>170761611</v>
      </c>
      <c r="W39" s="81">
        <f t="shared" ref="W39:W42" si="71">AH39</f>
        <v>170761611</v>
      </c>
      <c r="X39" s="97">
        <v>0</v>
      </c>
      <c r="Y39" s="81">
        <f t="shared" si="1"/>
        <v>0</v>
      </c>
      <c r="Z39" s="81">
        <f t="shared" ref="Z39:Z42" si="72">SUM(AA39:AB39)</f>
        <v>170761611</v>
      </c>
      <c r="AA39" s="81">
        <f t="shared" ref="AA39:AA42" si="73">AI39</f>
        <v>170761611</v>
      </c>
      <c r="AB39" s="97">
        <v>0</v>
      </c>
      <c r="AC39" s="81">
        <f t="shared" si="2"/>
        <v>0</v>
      </c>
      <c r="AD39" s="81">
        <f t="shared" ref="AD39:AD42" si="74">+L39-O39</f>
        <v>0</v>
      </c>
      <c r="AE39" s="29">
        <f t="shared" si="12"/>
        <v>13</v>
      </c>
      <c r="AG39" s="29">
        <v>170761611</v>
      </c>
      <c r="AH39" s="29">
        <v>170761611</v>
      </c>
      <c r="AI39" s="29">
        <v>170761611</v>
      </c>
      <c r="AK39" s="168">
        <f t="shared" si="13"/>
        <v>0</v>
      </c>
      <c r="AL39" s="168"/>
    </row>
    <row r="40" spans="1:38" x14ac:dyDescent="0.2">
      <c r="A40" s="77" t="s">
        <v>111</v>
      </c>
      <c r="B40" s="77" t="str">
        <f t="shared" si="3"/>
        <v>FUNCIONAMIENTO</v>
      </c>
      <c r="C40" s="78" t="s">
        <v>51</v>
      </c>
      <c r="D40" s="83" t="s">
        <v>153</v>
      </c>
      <c r="E40" s="79">
        <f>VLOOKUP($C40,DATOS!$A$1:$O$1101,3,FALSE)</f>
        <v>42481000</v>
      </c>
      <c r="F40" s="191">
        <f>VLOOKUP($C40,DATOS!$A$1:$O$1101,4,FALSE)</f>
        <v>0</v>
      </c>
      <c r="G40" s="79">
        <f>VLOOKUP($C40,DATOS!$A$1:$O$1101,5,FALSE)</f>
        <v>1000000</v>
      </c>
      <c r="H40" s="79">
        <f t="shared" si="67"/>
        <v>43481000</v>
      </c>
      <c r="I40" s="79">
        <f>VLOOKUP($C40,DATOS!$A$1:$O$1101,7,FALSE)</f>
        <v>0</v>
      </c>
      <c r="J40" s="79">
        <f t="shared" si="68"/>
        <v>43481000</v>
      </c>
      <c r="K40" s="79">
        <f>VLOOKUP($C40,DATOS!$A$1:$O$1101,9,FALSE)</f>
        <v>4193268</v>
      </c>
      <c r="L40" s="79">
        <f>VLOOKUP($C40,DATOS!$A$1:$O$1101,10,FALSE)</f>
        <v>41194445</v>
      </c>
      <c r="M40" s="80">
        <f t="shared" si="7"/>
        <v>0.94741254800947539</v>
      </c>
      <c r="N40" s="79">
        <f>VLOOKUP($C40,DATOS!$A$1:$O$1101,12,FALSE)</f>
        <v>4193268</v>
      </c>
      <c r="O40" s="79">
        <f>VLOOKUP($C40,DATOS!$A$1:$O$1101,13,FALSE)</f>
        <v>41194445</v>
      </c>
      <c r="P40" s="80">
        <f t="shared" si="8"/>
        <v>0.94741254800947539</v>
      </c>
      <c r="Q40" s="81">
        <f t="shared" si="9"/>
        <v>41194445</v>
      </c>
      <c r="R40" s="81">
        <f t="shared" si="69"/>
        <v>37001177</v>
      </c>
      <c r="S40" s="97">
        <v>4193268</v>
      </c>
      <c r="T40" s="81">
        <f t="shared" si="37"/>
        <v>0</v>
      </c>
      <c r="U40" s="81">
        <f t="shared" si="70"/>
        <v>0</v>
      </c>
      <c r="V40" s="81">
        <f t="shared" si="38"/>
        <v>41194445</v>
      </c>
      <c r="W40" s="81">
        <f t="shared" si="71"/>
        <v>37001177</v>
      </c>
      <c r="X40" s="97">
        <v>4193268</v>
      </c>
      <c r="Y40" s="81">
        <f t="shared" si="1"/>
        <v>0</v>
      </c>
      <c r="Z40" s="81">
        <f t="shared" si="72"/>
        <v>41194445</v>
      </c>
      <c r="AA40" s="81">
        <f t="shared" si="73"/>
        <v>37001177</v>
      </c>
      <c r="AB40" s="97">
        <v>4193268</v>
      </c>
      <c r="AC40" s="81">
        <f t="shared" si="2"/>
        <v>0</v>
      </c>
      <c r="AD40" s="81">
        <f t="shared" si="74"/>
        <v>0</v>
      </c>
      <c r="AE40" s="29">
        <f t="shared" si="12"/>
        <v>13</v>
      </c>
      <c r="AG40" s="29">
        <v>37001177</v>
      </c>
      <c r="AH40" s="29">
        <v>37001177</v>
      </c>
      <c r="AI40" s="29">
        <v>37001177</v>
      </c>
      <c r="AK40" s="168">
        <f t="shared" si="13"/>
        <v>1</v>
      </c>
      <c r="AL40" s="168"/>
    </row>
    <row r="41" spans="1:38" x14ac:dyDescent="0.2">
      <c r="A41" s="77" t="s">
        <v>111</v>
      </c>
      <c r="B41" s="77" t="str">
        <f t="shared" si="3"/>
        <v>FUNCIONAMIENTO</v>
      </c>
      <c r="C41" s="78" t="s">
        <v>96</v>
      </c>
      <c r="D41" s="83" t="s">
        <v>154</v>
      </c>
      <c r="E41" s="79">
        <f>VLOOKUP($C41,DATOS!$A$1:$O$1101,3,FALSE)</f>
        <v>50000000</v>
      </c>
      <c r="F41" s="191">
        <f>VLOOKUP($C41,DATOS!$A$1:$O$1101,4,FALSE)</f>
        <v>0</v>
      </c>
      <c r="G41" s="79">
        <f>VLOOKUP($C41,DATOS!$A$1:$O$1101,5,FALSE)</f>
        <v>-28000000</v>
      </c>
      <c r="H41" s="79">
        <f t="shared" si="67"/>
        <v>22000000</v>
      </c>
      <c r="I41" s="79">
        <f>VLOOKUP($C41,DATOS!$A$1:$O$1101,7,FALSE)</f>
        <v>0</v>
      </c>
      <c r="J41" s="79">
        <f t="shared" si="68"/>
        <v>22000000</v>
      </c>
      <c r="K41" s="79">
        <f>VLOOKUP($C41,DATOS!$A$1:$O$1101,9,FALSE)</f>
        <v>3759375</v>
      </c>
      <c r="L41" s="79">
        <f>VLOOKUP($C41,DATOS!$A$1:$O$1101,10,FALSE)</f>
        <v>17418389</v>
      </c>
      <c r="M41" s="80">
        <f t="shared" si="7"/>
        <v>0.79174495454545457</v>
      </c>
      <c r="N41" s="79">
        <f>VLOOKUP($C41,DATOS!$A$1:$O$1101,12,FALSE)</f>
        <v>3759375</v>
      </c>
      <c r="O41" s="79">
        <f>VLOOKUP($C41,DATOS!$A$1:$O$1101,13,FALSE)</f>
        <v>17418389</v>
      </c>
      <c r="P41" s="80">
        <f t="shared" si="8"/>
        <v>0.79174495454545457</v>
      </c>
      <c r="Q41" s="81">
        <f t="shared" si="9"/>
        <v>17418389</v>
      </c>
      <c r="R41" s="81">
        <f t="shared" si="69"/>
        <v>13659014</v>
      </c>
      <c r="S41" s="97">
        <v>3759375</v>
      </c>
      <c r="T41" s="81">
        <f t="shared" si="37"/>
        <v>0</v>
      </c>
      <c r="U41" s="81">
        <f t="shared" si="70"/>
        <v>0</v>
      </c>
      <c r="V41" s="81">
        <f t="shared" si="38"/>
        <v>17418389</v>
      </c>
      <c r="W41" s="81">
        <f t="shared" si="71"/>
        <v>13659014</v>
      </c>
      <c r="X41" s="97">
        <v>3759375</v>
      </c>
      <c r="Y41" s="81">
        <f t="shared" si="1"/>
        <v>0</v>
      </c>
      <c r="Z41" s="81">
        <f t="shared" si="72"/>
        <v>17418389</v>
      </c>
      <c r="AA41" s="81">
        <f t="shared" si="73"/>
        <v>13659014</v>
      </c>
      <c r="AB41" s="97">
        <v>3759375</v>
      </c>
      <c r="AC41" s="81">
        <f t="shared" si="2"/>
        <v>0</v>
      </c>
      <c r="AD41" s="81">
        <f t="shared" si="74"/>
        <v>0</v>
      </c>
      <c r="AE41" s="29">
        <f t="shared" si="12"/>
        <v>11</v>
      </c>
      <c r="AG41" s="29">
        <v>13659014</v>
      </c>
      <c r="AH41" s="29">
        <v>13659014</v>
      </c>
      <c r="AI41" s="29">
        <v>13659014</v>
      </c>
      <c r="AK41" s="168">
        <f t="shared" si="13"/>
        <v>1</v>
      </c>
      <c r="AL41" s="168"/>
    </row>
    <row r="42" spans="1:38" x14ac:dyDescent="0.2">
      <c r="A42" s="77" t="s">
        <v>111</v>
      </c>
      <c r="B42" s="77" t="str">
        <f t="shared" si="3"/>
        <v>FUNCIONAMIENTO</v>
      </c>
      <c r="C42" s="78" t="s">
        <v>132</v>
      </c>
      <c r="D42" s="82" t="s">
        <v>155</v>
      </c>
      <c r="E42" s="79">
        <f>VLOOKUP($C42,DATOS!$A$1:$O$1101,3,FALSE)</f>
        <v>100000000</v>
      </c>
      <c r="F42" s="191">
        <f>VLOOKUP($C42,DATOS!$A$1:$O$1101,4,FALSE)</f>
        <v>0</v>
      </c>
      <c r="G42" s="79">
        <f>VLOOKUP($C42,DATOS!$A$1:$O$1101,5,FALSE)</f>
        <v>-90000000</v>
      </c>
      <c r="H42" s="79">
        <f t="shared" si="67"/>
        <v>10000000</v>
      </c>
      <c r="I42" s="79">
        <f>VLOOKUP($C42,DATOS!$A$1:$O$1101,7,FALSE)</f>
        <v>0</v>
      </c>
      <c r="J42" s="79">
        <f t="shared" si="68"/>
        <v>10000000</v>
      </c>
      <c r="K42" s="79">
        <f>VLOOKUP($C42,DATOS!$A$1:$O$1101,9,FALSE)</f>
        <v>1423500</v>
      </c>
      <c r="L42" s="79">
        <f>VLOOKUP($C42,DATOS!$A$1:$O$1101,10,FALSE)</f>
        <v>5314400</v>
      </c>
      <c r="M42" s="80">
        <f t="shared" si="7"/>
        <v>0.53144000000000002</v>
      </c>
      <c r="N42" s="79">
        <f>VLOOKUP($C42,DATOS!$A$1:$O$1101,12,FALSE)</f>
        <v>1423500</v>
      </c>
      <c r="O42" s="79">
        <f>VLOOKUP($C42,DATOS!$A$1:$O$1101,13,FALSE)</f>
        <v>5314400</v>
      </c>
      <c r="P42" s="80">
        <f t="shared" si="8"/>
        <v>0.53144000000000002</v>
      </c>
      <c r="Q42" s="81">
        <f t="shared" si="9"/>
        <v>5314400</v>
      </c>
      <c r="R42" s="81">
        <f t="shared" si="69"/>
        <v>3890900</v>
      </c>
      <c r="S42" s="97">
        <v>1423500</v>
      </c>
      <c r="T42" s="81">
        <f t="shared" si="37"/>
        <v>0</v>
      </c>
      <c r="U42" s="81">
        <f t="shared" si="70"/>
        <v>0</v>
      </c>
      <c r="V42" s="81">
        <f t="shared" si="38"/>
        <v>5314400</v>
      </c>
      <c r="W42" s="81">
        <f t="shared" si="71"/>
        <v>3890900</v>
      </c>
      <c r="X42" s="97">
        <v>1423500</v>
      </c>
      <c r="Y42" s="81">
        <f t="shared" si="1"/>
        <v>0</v>
      </c>
      <c r="Z42" s="81">
        <f t="shared" si="72"/>
        <v>5314400</v>
      </c>
      <c r="AA42" s="81">
        <f t="shared" si="73"/>
        <v>3890900</v>
      </c>
      <c r="AB42" s="97">
        <v>1423500</v>
      </c>
      <c r="AC42" s="81">
        <f t="shared" si="2"/>
        <v>0</v>
      </c>
      <c r="AD42" s="81">
        <f t="shared" si="74"/>
        <v>0</v>
      </c>
      <c r="AE42" s="29">
        <f t="shared" si="12"/>
        <v>11</v>
      </c>
      <c r="AG42" s="29">
        <v>3890900</v>
      </c>
      <c r="AH42" s="29">
        <v>3890900</v>
      </c>
      <c r="AI42" s="29">
        <v>3890900</v>
      </c>
      <c r="AK42" s="168">
        <f t="shared" si="13"/>
        <v>1</v>
      </c>
      <c r="AL42" s="168"/>
    </row>
    <row r="43" spans="1:38" hidden="1" x14ac:dyDescent="0.2">
      <c r="A43" s="75"/>
      <c r="B43" s="75" t="str">
        <f t="shared" si="3"/>
        <v>FUNCIONAMIENTO</v>
      </c>
      <c r="C43" s="59" t="s">
        <v>52</v>
      </c>
      <c r="D43" s="58" t="s">
        <v>101</v>
      </c>
      <c r="E43" s="60">
        <f>+E44</f>
        <v>25601600000</v>
      </c>
      <c r="F43" s="60">
        <f t="shared" ref="F43:O43" si="75">+F44</f>
        <v>0</v>
      </c>
      <c r="G43" s="60">
        <f t="shared" si="75"/>
        <v>490142098</v>
      </c>
      <c r="H43" s="60">
        <f t="shared" si="5"/>
        <v>26091742098</v>
      </c>
      <c r="I43" s="60">
        <f t="shared" si="75"/>
        <v>0</v>
      </c>
      <c r="J43" s="60">
        <f t="shared" si="6"/>
        <v>26091742098</v>
      </c>
      <c r="K43" s="60">
        <f t="shared" si="75"/>
        <v>2020361255</v>
      </c>
      <c r="L43" s="60">
        <f t="shared" si="75"/>
        <v>20056214218</v>
      </c>
      <c r="M43" s="61">
        <f t="shared" si="7"/>
        <v>0.76868053281644855</v>
      </c>
      <c r="N43" s="60">
        <f t="shared" si="75"/>
        <v>1817205251</v>
      </c>
      <c r="O43" s="60">
        <f t="shared" si="75"/>
        <v>14546491377</v>
      </c>
      <c r="P43" s="61">
        <f t="shared" si="8"/>
        <v>0.55751322860557584</v>
      </c>
      <c r="Q43" s="84">
        <f t="shared" si="9"/>
        <v>20056214218</v>
      </c>
      <c r="R43" s="84">
        <f>+R44</f>
        <v>23432712048</v>
      </c>
      <c r="S43" s="84">
        <f>+S44</f>
        <v>-3376497830</v>
      </c>
      <c r="T43" s="84">
        <f t="shared" ref="T43:T79" si="76">+Q43-L43</f>
        <v>0</v>
      </c>
      <c r="U43" s="84">
        <f t="shared" ref="U43:U79" si="77">+V43-L43</f>
        <v>0</v>
      </c>
      <c r="V43" s="84">
        <f t="shared" si="38"/>
        <v>20056214218</v>
      </c>
      <c r="W43" s="84">
        <f>+W44</f>
        <v>18035852963</v>
      </c>
      <c r="X43" s="74">
        <f>+X44</f>
        <v>2020361255</v>
      </c>
      <c r="Y43" s="84">
        <f t="shared" si="1"/>
        <v>0</v>
      </c>
      <c r="Z43" s="84">
        <f t="shared" si="11"/>
        <v>14546491377</v>
      </c>
      <c r="AA43" s="84">
        <f>+AA44</f>
        <v>12729286126</v>
      </c>
      <c r="AB43" s="84">
        <f>+AB44</f>
        <v>1817205251</v>
      </c>
      <c r="AC43" s="84">
        <f t="shared" si="2"/>
        <v>0</v>
      </c>
      <c r="AD43" s="84">
        <f t="shared" ref="AD43:AD79" si="78">+L43-O43</f>
        <v>5509722841</v>
      </c>
      <c r="AE43" s="29">
        <f t="shared" si="12"/>
        <v>4</v>
      </c>
      <c r="AG43" s="29">
        <v>23432712048</v>
      </c>
      <c r="AH43" s="29">
        <v>18035852963</v>
      </c>
      <c r="AI43" s="29">
        <v>12729286126</v>
      </c>
      <c r="AK43" s="168">
        <f t="shared" si="13"/>
        <v>1</v>
      </c>
      <c r="AL43" s="168"/>
    </row>
    <row r="44" spans="1:38" hidden="1" x14ac:dyDescent="0.2">
      <c r="A44" s="75"/>
      <c r="B44" s="75" t="str">
        <f t="shared" si="3"/>
        <v>FUNCIONAMIENTO</v>
      </c>
      <c r="C44" s="59" t="s">
        <v>53</v>
      </c>
      <c r="D44" s="58" t="s">
        <v>102</v>
      </c>
      <c r="E44" s="60">
        <f>SUM(E45,E55)</f>
        <v>25601600000</v>
      </c>
      <c r="F44" s="60">
        <f t="shared" ref="F44:O44" si="79">SUM(F45,F55)</f>
        <v>0</v>
      </c>
      <c r="G44" s="60">
        <f t="shared" si="79"/>
        <v>490142098</v>
      </c>
      <c r="H44" s="60">
        <f t="shared" si="5"/>
        <v>26091742098</v>
      </c>
      <c r="I44" s="60">
        <f t="shared" si="79"/>
        <v>0</v>
      </c>
      <c r="J44" s="60">
        <f t="shared" si="6"/>
        <v>26091742098</v>
      </c>
      <c r="K44" s="60">
        <f t="shared" si="79"/>
        <v>2020361255</v>
      </c>
      <c r="L44" s="60">
        <f t="shared" si="79"/>
        <v>20056214218</v>
      </c>
      <c r="M44" s="61">
        <f t="shared" si="7"/>
        <v>0.76868053281644855</v>
      </c>
      <c r="N44" s="60">
        <f t="shared" si="79"/>
        <v>1817205251</v>
      </c>
      <c r="O44" s="60">
        <f t="shared" si="79"/>
        <v>14546491377</v>
      </c>
      <c r="P44" s="61">
        <f t="shared" si="8"/>
        <v>0.55751322860557584</v>
      </c>
      <c r="Q44" s="84">
        <f t="shared" si="9"/>
        <v>20056214218</v>
      </c>
      <c r="R44" s="84">
        <f>SUM(R45,R55)</f>
        <v>23432712048</v>
      </c>
      <c r="S44" s="84">
        <f>SUM(S45,S55)</f>
        <v>-3376497830</v>
      </c>
      <c r="T44" s="84">
        <f t="shared" si="76"/>
        <v>0</v>
      </c>
      <c r="U44" s="84">
        <f t="shared" si="77"/>
        <v>0</v>
      </c>
      <c r="V44" s="84">
        <f t="shared" si="38"/>
        <v>20056214218</v>
      </c>
      <c r="W44" s="84">
        <f>SUM(W45,W55)</f>
        <v>18035852963</v>
      </c>
      <c r="X44" s="74">
        <f>SUM(X45,X55)</f>
        <v>2020361255</v>
      </c>
      <c r="Y44" s="84">
        <f t="shared" si="1"/>
        <v>0</v>
      </c>
      <c r="Z44" s="84">
        <f t="shared" si="11"/>
        <v>14546491377</v>
      </c>
      <c r="AA44" s="84">
        <f>SUM(AA45,AA55)</f>
        <v>12729286126</v>
      </c>
      <c r="AB44" s="84">
        <f>SUM(AB45,AB55)</f>
        <v>1817205251</v>
      </c>
      <c r="AC44" s="84">
        <f t="shared" si="2"/>
        <v>0</v>
      </c>
      <c r="AD44" s="84">
        <f t="shared" si="78"/>
        <v>5509722841</v>
      </c>
      <c r="AE44" s="29">
        <f t="shared" si="12"/>
        <v>6</v>
      </c>
      <c r="AG44" s="29">
        <v>23432712048</v>
      </c>
      <c r="AH44" s="29">
        <v>18035852963</v>
      </c>
      <c r="AI44" s="29">
        <v>12729286126</v>
      </c>
      <c r="AK44" s="168">
        <f t="shared" si="13"/>
        <v>1</v>
      </c>
      <c r="AL44" s="168"/>
    </row>
    <row r="45" spans="1:38" hidden="1" x14ac:dyDescent="0.2">
      <c r="A45" s="75"/>
      <c r="B45" s="75" t="str">
        <f t="shared" si="3"/>
        <v>FUNCIONAMIENTO</v>
      </c>
      <c r="C45" s="59" t="s">
        <v>54</v>
      </c>
      <c r="D45" s="57" t="s">
        <v>55</v>
      </c>
      <c r="E45" s="60">
        <f>SUM(E46,E49,E52)</f>
        <v>2011206000</v>
      </c>
      <c r="F45" s="60">
        <f t="shared" ref="F45:AD45" si="80">SUM(F46,F49,F52)</f>
        <v>0</v>
      </c>
      <c r="G45" s="60">
        <f t="shared" si="80"/>
        <v>-1038567049</v>
      </c>
      <c r="H45" s="60">
        <f t="shared" si="80"/>
        <v>972638951</v>
      </c>
      <c r="I45" s="60">
        <f t="shared" si="80"/>
        <v>0</v>
      </c>
      <c r="J45" s="60">
        <f t="shared" si="80"/>
        <v>972638951</v>
      </c>
      <c r="K45" s="60">
        <f t="shared" si="80"/>
        <v>100000</v>
      </c>
      <c r="L45" s="60">
        <f t="shared" si="80"/>
        <v>577589293</v>
      </c>
      <c r="M45" s="61">
        <f t="shared" si="7"/>
        <v>0.5938373045888844</v>
      </c>
      <c r="N45" s="60">
        <f t="shared" si="80"/>
        <v>12486930</v>
      </c>
      <c r="O45" s="60">
        <f t="shared" si="80"/>
        <v>547906811</v>
      </c>
      <c r="P45" s="61">
        <f t="shared" si="8"/>
        <v>0.56331983254082119</v>
      </c>
      <c r="Q45" s="84">
        <f t="shared" si="9"/>
        <v>577589293</v>
      </c>
      <c r="R45" s="84">
        <f t="shared" si="80"/>
        <v>765743991</v>
      </c>
      <c r="S45" s="84">
        <f t="shared" si="80"/>
        <v>-188154698</v>
      </c>
      <c r="T45" s="84">
        <f t="shared" si="80"/>
        <v>0</v>
      </c>
      <c r="U45" s="84">
        <f t="shared" si="80"/>
        <v>0</v>
      </c>
      <c r="V45" s="84">
        <f t="shared" si="38"/>
        <v>577589293</v>
      </c>
      <c r="W45" s="84">
        <f t="shared" si="80"/>
        <v>577489293</v>
      </c>
      <c r="X45" s="74">
        <f t="shared" si="80"/>
        <v>100000</v>
      </c>
      <c r="Y45" s="84">
        <f t="shared" si="1"/>
        <v>0</v>
      </c>
      <c r="Z45" s="84">
        <f t="shared" si="11"/>
        <v>547906811</v>
      </c>
      <c r="AA45" s="84">
        <f t="shared" si="80"/>
        <v>535419881</v>
      </c>
      <c r="AB45" s="84">
        <f>SUM(AB46,AB49,AB52)</f>
        <v>12486930</v>
      </c>
      <c r="AC45" s="84">
        <f t="shared" si="2"/>
        <v>0</v>
      </c>
      <c r="AD45" s="84">
        <f t="shared" si="80"/>
        <v>29682482</v>
      </c>
      <c r="AE45" s="29">
        <f t="shared" si="12"/>
        <v>8</v>
      </c>
      <c r="AG45" s="29">
        <v>765743991</v>
      </c>
      <c r="AH45" s="29">
        <v>577489293</v>
      </c>
      <c r="AI45" s="29">
        <v>535419881</v>
      </c>
      <c r="AK45" s="168">
        <f t="shared" si="13"/>
        <v>0</v>
      </c>
      <c r="AL45" s="168"/>
    </row>
    <row r="46" spans="1:38" ht="36" hidden="1" x14ac:dyDescent="0.2">
      <c r="A46" s="75"/>
      <c r="B46" s="75" t="str">
        <f t="shared" si="3"/>
        <v>FUNCIONAMIENTO</v>
      </c>
      <c r="C46" s="59" t="s">
        <v>56</v>
      </c>
      <c r="D46" s="58" t="s">
        <v>156</v>
      </c>
      <c r="E46" s="60">
        <f>+SUM(E47:E48)</f>
        <v>32317000</v>
      </c>
      <c r="F46" s="60">
        <f t="shared" ref="F46:O46" si="81">+SUM(F47:F48)</f>
        <v>0</v>
      </c>
      <c r="G46" s="60">
        <f t="shared" si="81"/>
        <v>-4019663</v>
      </c>
      <c r="H46" s="60">
        <f t="shared" si="5"/>
        <v>28297337</v>
      </c>
      <c r="I46" s="60">
        <f t="shared" si="81"/>
        <v>0</v>
      </c>
      <c r="J46" s="60">
        <f t="shared" si="6"/>
        <v>28297337</v>
      </c>
      <c r="K46" s="60">
        <f t="shared" si="81"/>
        <v>0</v>
      </c>
      <c r="L46" s="60">
        <f t="shared" si="81"/>
        <v>16408525</v>
      </c>
      <c r="M46" s="61">
        <f t="shared" si="7"/>
        <v>0.57986110141742309</v>
      </c>
      <c r="N46" s="60">
        <f t="shared" si="81"/>
        <v>0</v>
      </c>
      <c r="O46" s="60">
        <f t="shared" si="81"/>
        <v>13704250</v>
      </c>
      <c r="P46" s="61">
        <f t="shared" si="8"/>
        <v>0.48429468822454919</v>
      </c>
      <c r="Q46" s="76">
        <f t="shared" si="9"/>
        <v>16408525</v>
      </c>
      <c r="R46" s="76">
        <f>+SUM(R47:R48)</f>
        <v>16408525</v>
      </c>
      <c r="S46" s="84">
        <f>+SUM(S47:S48)</f>
        <v>0</v>
      </c>
      <c r="T46" s="76">
        <f t="shared" si="76"/>
        <v>0</v>
      </c>
      <c r="U46" s="76">
        <f t="shared" si="77"/>
        <v>0</v>
      </c>
      <c r="V46" s="76">
        <f t="shared" si="38"/>
        <v>16408525</v>
      </c>
      <c r="W46" s="76">
        <f>+SUM(W47:W48)</f>
        <v>16408525</v>
      </c>
      <c r="X46" s="74">
        <f>+SUM(X47:X48)</f>
        <v>0</v>
      </c>
      <c r="Y46" s="76">
        <f t="shared" si="1"/>
        <v>0</v>
      </c>
      <c r="Z46" s="76">
        <f t="shared" si="11"/>
        <v>13704250</v>
      </c>
      <c r="AA46" s="76">
        <f>+SUM(AA47:AA48)</f>
        <v>13704250</v>
      </c>
      <c r="AB46" s="76">
        <f>+SUM(AB47:AB48)</f>
        <v>0</v>
      </c>
      <c r="AC46" s="76">
        <f t="shared" si="2"/>
        <v>0</v>
      </c>
      <c r="AD46" s="76">
        <f t="shared" si="78"/>
        <v>2704275</v>
      </c>
      <c r="AE46" s="29">
        <f t="shared" si="12"/>
        <v>11</v>
      </c>
      <c r="AG46" s="29">
        <v>16408525</v>
      </c>
      <c r="AH46" s="29">
        <v>16408525</v>
      </c>
      <c r="AI46" s="29">
        <v>13704250</v>
      </c>
      <c r="AK46" s="168">
        <f t="shared" si="13"/>
        <v>0</v>
      </c>
      <c r="AL46" s="168"/>
    </row>
    <row r="47" spans="1:38" ht="36" x14ac:dyDescent="0.2">
      <c r="A47" s="77" t="s">
        <v>111</v>
      </c>
      <c r="B47" s="77" t="str">
        <f t="shared" si="3"/>
        <v>FUNCIONAMIENTO</v>
      </c>
      <c r="C47" s="78" t="s">
        <v>157</v>
      </c>
      <c r="D47" s="82" t="s">
        <v>158</v>
      </c>
      <c r="E47" s="79">
        <f>VLOOKUP($C47,DATOS!$A$1:$O$1101,3,FALSE)</f>
        <v>2317000</v>
      </c>
      <c r="F47" s="191">
        <f>VLOOKUP($C47,DATOS!$A$1:$O$1101,4,FALSE)</f>
        <v>0</v>
      </c>
      <c r="G47" s="79">
        <f>VLOOKUP($C47,DATOS!$A$1:$O$1101,5,FALSE)</f>
        <v>0</v>
      </c>
      <c r="H47" s="79">
        <f t="shared" ref="H47:H48" si="82">E47+G47</f>
        <v>2317000</v>
      </c>
      <c r="I47" s="79">
        <f>VLOOKUP($C47,DATOS!$A$1:$O$1101,7,FALSE)</f>
        <v>0</v>
      </c>
      <c r="J47" s="79">
        <f t="shared" ref="J47:J48" si="83">H47-I47</f>
        <v>2317000</v>
      </c>
      <c r="K47" s="79">
        <f>VLOOKUP($C47,DATOS!$A$1:$O$1101,9,FALSE)</f>
        <v>0</v>
      </c>
      <c r="L47" s="79">
        <f>VLOOKUP($C47,DATOS!$A$1:$O$1101,10,FALSE)</f>
        <v>2310000</v>
      </c>
      <c r="M47" s="80">
        <f t="shared" si="7"/>
        <v>0.99697885196374625</v>
      </c>
      <c r="N47" s="79">
        <f>VLOOKUP($C47,DATOS!$A$1:$O$1101,12,FALSE)</f>
        <v>0</v>
      </c>
      <c r="O47" s="79">
        <f>VLOOKUP($C47,DATOS!$A$1:$O$1101,13,FALSE)</f>
        <v>2310000</v>
      </c>
      <c r="P47" s="80">
        <f t="shared" si="8"/>
        <v>0.99697885196374625</v>
      </c>
      <c r="Q47" s="81">
        <f t="shared" si="9"/>
        <v>2310000</v>
      </c>
      <c r="R47" s="81">
        <f t="shared" ref="R47:R48" si="84">AG47</f>
        <v>2310000</v>
      </c>
      <c r="S47" s="97">
        <v>0</v>
      </c>
      <c r="T47" s="81">
        <f t="shared" si="76"/>
        <v>0</v>
      </c>
      <c r="U47" s="81">
        <f t="shared" si="77"/>
        <v>0</v>
      </c>
      <c r="V47" s="81">
        <f t="shared" si="38"/>
        <v>2310000</v>
      </c>
      <c r="W47" s="81">
        <f t="shared" ref="W47:W48" si="85">AH47</f>
        <v>2310000</v>
      </c>
      <c r="X47" s="97">
        <v>0</v>
      </c>
      <c r="Y47" s="81">
        <f t="shared" si="1"/>
        <v>0</v>
      </c>
      <c r="Z47" s="81">
        <f t="shared" ref="Z47:Z48" si="86">SUM(AA47:AB47)</f>
        <v>2310000</v>
      </c>
      <c r="AA47" s="81">
        <f t="shared" ref="AA47:AA48" si="87">AI47</f>
        <v>2310000</v>
      </c>
      <c r="AB47" s="97">
        <v>0</v>
      </c>
      <c r="AC47" s="81">
        <f t="shared" si="2"/>
        <v>0</v>
      </c>
      <c r="AD47" s="81">
        <f t="shared" si="78"/>
        <v>0</v>
      </c>
      <c r="AE47" s="29">
        <f t="shared" si="12"/>
        <v>12</v>
      </c>
      <c r="AG47" s="29">
        <v>2310000</v>
      </c>
      <c r="AH47" s="29">
        <v>2310000</v>
      </c>
      <c r="AI47" s="29">
        <v>2310000</v>
      </c>
      <c r="AK47" s="168">
        <f t="shared" si="13"/>
        <v>0</v>
      </c>
      <c r="AL47" s="168"/>
    </row>
    <row r="48" spans="1:38" ht="48" x14ac:dyDescent="0.2">
      <c r="A48" s="66" t="s">
        <v>112</v>
      </c>
      <c r="B48" s="66" t="str">
        <f t="shared" si="3"/>
        <v>FUNCIONAMIENTO</v>
      </c>
      <c r="C48" s="67" t="s">
        <v>91</v>
      </c>
      <c r="D48" s="70" t="s">
        <v>159</v>
      </c>
      <c r="E48" s="68">
        <f>VLOOKUP($C48,DATOS!$A$1:$O$1101,3,FALSE)</f>
        <v>30000000</v>
      </c>
      <c r="F48" s="192">
        <f>VLOOKUP($C48,DATOS!$A$1:$O$1101,4,FALSE)</f>
        <v>0</v>
      </c>
      <c r="G48" s="68">
        <f>VLOOKUP($C48,DATOS!$A$1:$O$1101,5,FALSE)</f>
        <v>-4019663</v>
      </c>
      <c r="H48" s="130">
        <f t="shared" si="82"/>
        <v>25980337</v>
      </c>
      <c r="I48" s="68">
        <f>VLOOKUP($C48,DATOS!$A$1:$O$1101,7,FALSE)</f>
        <v>0</v>
      </c>
      <c r="J48" s="68">
        <f t="shared" si="83"/>
        <v>25980337</v>
      </c>
      <c r="K48" s="68">
        <f>VLOOKUP($C48,DATOS!$A$1:$O$1101,9,FALSE)</f>
        <v>0</v>
      </c>
      <c r="L48" s="68">
        <f>VLOOKUP($C48,DATOS!$A$1:$O$1101,10,FALSE)</f>
        <v>14098525</v>
      </c>
      <c r="M48" s="69">
        <f t="shared" si="7"/>
        <v>0.54266135962747519</v>
      </c>
      <c r="N48" s="68">
        <f>VLOOKUP($C48,DATOS!$A$1:$O$1101,12,FALSE)</f>
        <v>0</v>
      </c>
      <c r="O48" s="68">
        <f>VLOOKUP($C48,DATOS!$A$1:$O$1101,13,FALSE)</f>
        <v>11394250</v>
      </c>
      <c r="P48" s="69">
        <f t="shared" si="8"/>
        <v>0.43857206317223674</v>
      </c>
      <c r="Q48" s="73">
        <f t="shared" si="9"/>
        <v>14098525</v>
      </c>
      <c r="R48" s="73">
        <f t="shared" si="84"/>
        <v>14098525</v>
      </c>
      <c r="S48" s="97">
        <v>0</v>
      </c>
      <c r="T48" s="73">
        <f t="shared" si="76"/>
        <v>0</v>
      </c>
      <c r="U48" s="73">
        <f t="shared" si="77"/>
        <v>0</v>
      </c>
      <c r="V48" s="73">
        <f t="shared" si="38"/>
        <v>14098525</v>
      </c>
      <c r="W48" s="73">
        <f t="shared" si="85"/>
        <v>14098525</v>
      </c>
      <c r="X48" s="97">
        <v>0</v>
      </c>
      <c r="Y48" s="73">
        <f t="shared" si="1"/>
        <v>0</v>
      </c>
      <c r="Z48" s="73">
        <f t="shared" si="86"/>
        <v>11394250</v>
      </c>
      <c r="AA48" s="73">
        <f t="shared" si="87"/>
        <v>11394250</v>
      </c>
      <c r="AB48" s="97">
        <v>0</v>
      </c>
      <c r="AC48" s="73">
        <f t="shared" si="2"/>
        <v>0</v>
      </c>
      <c r="AD48" s="73">
        <f t="shared" si="78"/>
        <v>2704275</v>
      </c>
      <c r="AE48" s="29">
        <f t="shared" si="12"/>
        <v>12</v>
      </c>
      <c r="AG48" s="29">
        <v>14098525</v>
      </c>
      <c r="AH48" s="29">
        <v>14098525</v>
      </c>
      <c r="AI48" s="29">
        <v>11394250</v>
      </c>
      <c r="AK48" s="168">
        <f t="shared" si="13"/>
        <v>0</v>
      </c>
      <c r="AL48" s="168"/>
    </row>
    <row r="49" spans="1:38" ht="36" hidden="1" x14ac:dyDescent="0.2">
      <c r="A49" s="75"/>
      <c r="B49" s="75" t="str">
        <f t="shared" si="3"/>
        <v>FUNCIONAMIENTO</v>
      </c>
      <c r="C49" s="59" t="s">
        <v>57</v>
      </c>
      <c r="D49" s="58" t="s">
        <v>160</v>
      </c>
      <c r="E49" s="60">
        <f>SUM(E50:E51)</f>
        <v>480224000</v>
      </c>
      <c r="F49" s="60">
        <f t="shared" ref="F49:O49" si="88">SUM(F50:F51)</f>
        <v>0</v>
      </c>
      <c r="G49" s="60">
        <f t="shared" si="88"/>
        <v>13689069</v>
      </c>
      <c r="H49" s="60">
        <f t="shared" si="5"/>
        <v>493913069</v>
      </c>
      <c r="I49" s="60">
        <f t="shared" si="88"/>
        <v>0</v>
      </c>
      <c r="J49" s="60">
        <f t="shared" si="6"/>
        <v>493913069</v>
      </c>
      <c r="K49" s="60">
        <f t="shared" si="88"/>
        <v>100000</v>
      </c>
      <c r="L49" s="60">
        <f t="shared" si="88"/>
        <v>117122403</v>
      </c>
      <c r="M49" s="61">
        <f t="shared" si="7"/>
        <v>0.23713161353906187</v>
      </c>
      <c r="N49" s="60">
        <f t="shared" si="88"/>
        <v>12486930</v>
      </c>
      <c r="O49" s="60">
        <f t="shared" si="88"/>
        <v>93374941</v>
      </c>
      <c r="P49" s="61">
        <f t="shared" si="8"/>
        <v>0.18905136725588445</v>
      </c>
      <c r="Q49" s="76">
        <f t="shared" si="9"/>
        <v>117122403</v>
      </c>
      <c r="R49" s="76">
        <f>SUM(R50:R51)</f>
        <v>305277101</v>
      </c>
      <c r="S49" s="84">
        <f>SUM(S50:S51)</f>
        <v>-188154698</v>
      </c>
      <c r="T49" s="76">
        <f t="shared" si="76"/>
        <v>0</v>
      </c>
      <c r="U49" s="76">
        <f t="shared" si="77"/>
        <v>0</v>
      </c>
      <c r="V49" s="76">
        <f t="shared" si="38"/>
        <v>117122403</v>
      </c>
      <c r="W49" s="76">
        <f>SUM(W50:W51)</f>
        <v>117022403</v>
      </c>
      <c r="X49" s="74">
        <f>SUM(X50:X51)</f>
        <v>100000</v>
      </c>
      <c r="Y49" s="76">
        <f t="shared" si="1"/>
        <v>0</v>
      </c>
      <c r="Z49" s="76">
        <f t="shared" si="11"/>
        <v>93374941</v>
      </c>
      <c r="AA49" s="76">
        <f>SUM(AA50:AA51)</f>
        <v>80888011</v>
      </c>
      <c r="AB49" s="76">
        <f>SUM(AB50:AB51)</f>
        <v>12486930</v>
      </c>
      <c r="AC49" s="76">
        <f t="shared" si="2"/>
        <v>0</v>
      </c>
      <c r="AD49" s="76">
        <f t="shared" si="78"/>
        <v>23747462</v>
      </c>
      <c r="AE49" s="29">
        <f t="shared" si="12"/>
        <v>11</v>
      </c>
      <c r="AG49" s="29">
        <v>305277101</v>
      </c>
      <c r="AH49" s="29">
        <v>117022403</v>
      </c>
      <c r="AI49" s="29">
        <v>80888011</v>
      </c>
      <c r="AK49" s="168">
        <f t="shared" si="13"/>
        <v>0</v>
      </c>
      <c r="AL49" s="168"/>
    </row>
    <row r="50" spans="1:38" ht="36" x14ac:dyDescent="0.2">
      <c r="A50" s="77" t="s">
        <v>111</v>
      </c>
      <c r="B50" s="77" t="str">
        <f t="shared" si="3"/>
        <v>FUNCIONAMIENTO</v>
      </c>
      <c r="C50" s="78" t="s">
        <v>58</v>
      </c>
      <c r="D50" s="82" t="s">
        <v>161</v>
      </c>
      <c r="E50" s="79">
        <f>VLOOKUP($C50,DATOS!$A$1:$O$1101,3,FALSE)</f>
        <v>440224000</v>
      </c>
      <c r="F50" s="191">
        <f>VLOOKUP($C50,DATOS!$A$1:$O$1101,4,FALSE)</f>
        <v>0</v>
      </c>
      <c r="G50" s="79">
        <f>VLOOKUP($C50,DATOS!$A$1:$O$1101,5,FALSE)</f>
        <v>27450066</v>
      </c>
      <c r="H50" s="79">
        <f t="shared" ref="H50:H51" si="89">E50+G50</f>
        <v>467674066</v>
      </c>
      <c r="I50" s="79">
        <f>VLOOKUP($C50,DATOS!$A$1:$O$1101,7,FALSE)</f>
        <v>0</v>
      </c>
      <c r="J50" s="79">
        <f t="shared" ref="J50:J51" si="90">H50-I50</f>
        <v>467674066</v>
      </c>
      <c r="K50" s="79">
        <f>VLOOKUP($C50,DATOS!$A$1:$O$1101,9,FALSE)</f>
        <v>100000</v>
      </c>
      <c r="L50" s="79">
        <f>VLOOKUP($C50,DATOS!$A$1:$O$1101,10,FALSE)</f>
        <v>103632675</v>
      </c>
      <c r="M50" s="80">
        <f t="shared" si="7"/>
        <v>0.22159166508069747</v>
      </c>
      <c r="N50" s="79">
        <f>VLOOKUP($C50,DATOS!$A$1:$O$1101,12,FALSE)</f>
        <v>12486930</v>
      </c>
      <c r="O50" s="79">
        <f>VLOOKUP($C50,DATOS!$A$1:$O$1101,13,FALSE)</f>
        <v>80797173</v>
      </c>
      <c r="P50" s="80">
        <f t="shared" si="8"/>
        <v>0.17276385173771855</v>
      </c>
      <c r="Q50" s="81">
        <f t="shared" si="9"/>
        <v>103632675</v>
      </c>
      <c r="R50" s="81">
        <f t="shared" ref="R50:R51" si="91">AG50</f>
        <v>291787373</v>
      </c>
      <c r="S50" s="97">
        <v>-188154698</v>
      </c>
      <c r="T50" s="81">
        <f t="shared" si="76"/>
        <v>0</v>
      </c>
      <c r="U50" s="81">
        <f t="shared" si="77"/>
        <v>0</v>
      </c>
      <c r="V50" s="81">
        <f t="shared" si="38"/>
        <v>103632675</v>
      </c>
      <c r="W50" s="81">
        <f t="shared" ref="W50:W51" si="92">AH50</f>
        <v>103532675</v>
      </c>
      <c r="X50" s="97">
        <v>100000</v>
      </c>
      <c r="Y50" s="81">
        <f t="shared" si="1"/>
        <v>0</v>
      </c>
      <c r="Z50" s="81">
        <f t="shared" ref="Z50:Z51" si="93">SUM(AA50:AB50)</f>
        <v>80797173</v>
      </c>
      <c r="AA50" s="81">
        <f t="shared" ref="AA50:AA51" si="94">AI50</f>
        <v>68310243</v>
      </c>
      <c r="AB50" s="97">
        <v>12486930</v>
      </c>
      <c r="AC50" s="81">
        <f t="shared" si="2"/>
        <v>0</v>
      </c>
      <c r="AD50" s="81">
        <f t="shared" si="78"/>
        <v>22835502</v>
      </c>
      <c r="AE50" s="29">
        <f t="shared" si="12"/>
        <v>12</v>
      </c>
      <c r="AG50" s="29">
        <v>291787373</v>
      </c>
      <c r="AH50" s="29">
        <v>103532675</v>
      </c>
      <c r="AI50" s="29">
        <v>68310243</v>
      </c>
      <c r="AK50" s="168">
        <f t="shared" si="13"/>
        <v>0</v>
      </c>
      <c r="AL50" s="168"/>
    </row>
    <row r="51" spans="1:38" x14ac:dyDescent="0.2">
      <c r="A51" s="66" t="s">
        <v>112</v>
      </c>
      <c r="B51" s="66" t="str">
        <f t="shared" si="3"/>
        <v>FUNCIONAMIENTO</v>
      </c>
      <c r="C51" s="67" t="s">
        <v>59</v>
      </c>
      <c r="D51" s="71" t="s">
        <v>162</v>
      </c>
      <c r="E51" s="68">
        <f>VLOOKUP($C51,DATOS!$A$1:$O$1101,3,FALSE)</f>
        <v>40000000</v>
      </c>
      <c r="F51" s="192">
        <f>VLOOKUP($C51,DATOS!$A$1:$O$1101,4,FALSE)</f>
        <v>0</v>
      </c>
      <c r="G51" s="68">
        <f>VLOOKUP($C51,DATOS!$A$1:$O$1101,5,FALSE)</f>
        <v>-13760997</v>
      </c>
      <c r="H51" s="130">
        <f t="shared" si="89"/>
        <v>26239003</v>
      </c>
      <c r="I51" s="68">
        <f>VLOOKUP($C51,DATOS!$A$1:$O$1101,7,FALSE)</f>
        <v>0</v>
      </c>
      <c r="J51" s="68">
        <f t="shared" si="90"/>
        <v>26239003</v>
      </c>
      <c r="K51" s="68">
        <f>VLOOKUP($C51,DATOS!$A$1:$O$1101,9,FALSE)</f>
        <v>0</v>
      </c>
      <c r="L51" s="68">
        <f>VLOOKUP($C51,DATOS!$A$1:$O$1101,10,FALSE)</f>
        <v>13489728</v>
      </c>
      <c r="M51" s="69">
        <f t="shared" si="7"/>
        <v>0.51410977772288069</v>
      </c>
      <c r="N51" s="68">
        <f>VLOOKUP($C51,DATOS!$A$1:$O$1101,12,FALSE)</f>
        <v>0</v>
      </c>
      <c r="O51" s="68">
        <f>VLOOKUP($C51,DATOS!$A$1:$O$1101,13,FALSE)</f>
        <v>12577768</v>
      </c>
      <c r="P51" s="69">
        <f t="shared" si="8"/>
        <v>0.47935388398713169</v>
      </c>
      <c r="Q51" s="73">
        <f t="shared" si="9"/>
        <v>13489728</v>
      </c>
      <c r="R51" s="73">
        <f t="shared" si="91"/>
        <v>13489728</v>
      </c>
      <c r="S51" s="97">
        <v>0</v>
      </c>
      <c r="T51" s="73">
        <f t="shared" si="76"/>
        <v>0</v>
      </c>
      <c r="U51" s="73">
        <f t="shared" si="77"/>
        <v>0</v>
      </c>
      <c r="V51" s="73">
        <f t="shared" si="38"/>
        <v>13489728</v>
      </c>
      <c r="W51" s="73">
        <f t="shared" si="92"/>
        <v>13489728</v>
      </c>
      <c r="X51" s="97">
        <v>0</v>
      </c>
      <c r="Y51" s="73">
        <f t="shared" si="1"/>
        <v>0</v>
      </c>
      <c r="Z51" s="73">
        <f t="shared" si="93"/>
        <v>12577768</v>
      </c>
      <c r="AA51" s="73">
        <f t="shared" si="94"/>
        <v>12577768</v>
      </c>
      <c r="AB51" s="97">
        <v>0</v>
      </c>
      <c r="AC51" s="73">
        <f t="shared" si="2"/>
        <v>0</v>
      </c>
      <c r="AD51" s="73">
        <f t="shared" si="78"/>
        <v>911960</v>
      </c>
      <c r="AE51" s="29">
        <f t="shared" si="12"/>
        <v>12</v>
      </c>
      <c r="AG51" s="29">
        <v>13489728</v>
      </c>
      <c r="AH51" s="29">
        <v>13489728</v>
      </c>
      <c r="AI51" s="29">
        <v>12577768</v>
      </c>
      <c r="AK51" s="168">
        <f t="shared" si="13"/>
        <v>0</v>
      </c>
      <c r="AL51" s="168"/>
    </row>
    <row r="52" spans="1:38" hidden="1" x14ac:dyDescent="0.2">
      <c r="A52" s="75"/>
      <c r="B52" s="75" t="str">
        <f t="shared" si="3"/>
        <v>FUNCIONAMIENTO</v>
      </c>
      <c r="C52" s="59" t="s">
        <v>199</v>
      </c>
      <c r="D52" s="57" t="s">
        <v>200</v>
      </c>
      <c r="E52" s="60">
        <f>SUM(E53:E54)</f>
        <v>1498665000</v>
      </c>
      <c r="F52" s="60">
        <f t="shared" ref="F52:AD52" si="95">SUM(F53:F54)</f>
        <v>0</v>
      </c>
      <c r="G52" s="60">
        <f t="shared" si="95"/>
        <v>-1048236455</v>
      </c>
      <c r="H52" s="60">
        <f t="shared" si="95"/>
        <v>450428545</v>
      </c>
      <c r="I52" s="60">
        <f t="shared" si="95"/>
        <v>0</v>
      </c>
      <c r="J52" s="60">
        <f t="shared" si="95"/>
        <v>450428545</v>
      </c>
      <c r="K52" s="60">
        <f t="shared" si="95"/>
        <v>0</v>
      </c>
      <c r="L52" s="60">
        <f t="shared" si="95"/>
        <v>444058365</v>
      </c>
      <c r="M52" s="61">
        <f t="shared" si="7"/>
        <v>0.98585751264942589</v>
      </c>
      <c r="N52" s="60">
        <f t="shared" si="95"/>
        <v>0</v>
      </c>
      <c r="O52" s="60">
        <f t="shared" si="95"/>
        <v>440827620</v>
      </c>
      <c r="P52" s="61">
        <f t="shared" si="8"/>
        <v>0.97868490994503909</v>
      </c>
      <c r="Q52" s="90">
        <f t="shared" si="95"/>
        <v>444058365</v>
      </c>
      <c r="R52" s="90">
        <f t="shared" si="95"/>
        <v>444058365</v>
      </c>
      <c r="S52" s="84">
        <f t="shared" si="95"/>
        <v>0</v>
      </c>
      <c r="T52" s="90">
        <f t="shared" si="95"/>
        <v>0</v>
      </c>
      <c r="U52" s="90">
        <f t="shared" si="95"/>
        <v>0</v>
      </c>
      <c r="V52" s="90">
        <f t="shared" si="95"/>
        <v>444058365</v>
      </c>
      <c r="W52" s="90">
        <f t="shared" si="95"/>
        <v>444058365</v>
      </c>
      <c r="X52" s="74">
        <f t="shared" si="95"/>
        <v>0</v>
      </c>
      <c r="Y52" s="90">
        <f t="shared" si="95"/>
        <v>0</v>
      </c>
      <c r="Z52" s="90">
        <f t="shared" si="95"/>
        <v>440827620</v>
      </c>
      <c r="AA52" s="90">
        <f t="shared" si="95"/>
        <v>440827620</v>
      </c>
      <c r="AB52" s="90">
        <f t="shared" si="95"/>
        <v>0</v>
      </c>
      <c r="AC52" s="90">
        <f t="shared" si="95"/>
        <v>0</v>
      </c>
      <c r="AD52" s="90">
        <f t="shared" si="95"/>
        <v>3230745</v>
      </c>
      <c r="AE52" s="29">
        <f t="shared" si="12"/>
        <v>11</v>
      </c>
      <c r="AG52" s="29">
        <v>444058365</v>
      </c>
      <c r="AH52" s="29">
        <v>444058365</v>
      </c>
      <c r="AI52" s="29">
        <v>440827620</v>
      </c>
      <c r="AK52" s="168">
        <f t="shared" si="13"/>
        <v>0</v>
      </c>
      <c r="AL52" s="168"/>
    </row>
    <row r="53" spans="1:38" x14ac:dyDescent="0.2">
      <c r="A53" s="77" t="s">
        <v>111</v>
      </c>
      <c r="B53" s="77" t="str">
        <f t="shared" si="3"/>
        <v>FUNCIONAMIENTO</v>
      </c>
      <c r="C53" s="78" t="s">
        <v>201</v>
      </c>
      <c r="D53" s="83" t="s">
        <v>202</v>
      </c>
      <c r="E53" s="79">
        <f>VLOOKUP($C53,DATOS!$A$1:$O$1101,3,FALSE)</f>
        <v>1498665000</v>
      </c>
      <c r="F53" s="191">
        <f>VLOOKUP($C53,DATOS!$A$1:$O$1101,4,FALSE)</f>
        <v>0</v>
      </c>
      <c r="G53" s="79">
        <f>VLOOKUP($C53,DATOS!$A$1:$O$1101,5,FALSE)</f>
        <v>-1061978191</v>
      </c>
      <c r="H53" s="79">
        <f t="shared" ref="H53:H54" si="96">E53+G53</f>
        <v>436686809</v>
      </c>
      <c r="I53" s="79">
        <f>VLOOKUP($C53,DATOS!$A$1:$O$1101,7,FALSE)</f>
        <v>0</v>
      </c>
      <c r="J53" s="79">
        <f t="shared" ref="J53:J54" si="97">H53-I53</f>
        <v>436686809</v>
      </c>
      <c r="K53" s="79">
        <f>VLOOKUP($C53,DATOS!$A$1:$O$1101,9,FALSE)</f>
        <v>0</v>
      </c>
      <c r="L53" s="79">
        <f>VLOOKUP($C53,DATOS!$A$1:$O$1101,10,FALSE)</f>
        <v>430316629</v>
      </c>
      <c r="M53" s="80">
        <f t="shared" si="7"/>
        <v>0.98541247441252566</v>
      </c>
      <c r="N53" s="79">
        <f>VLOOKUP($C53,DATOS!$A$1:$O$1101,12,FALSE)</f>
        <v>0</v>
      </c>
      <c r="O53" s="79">
        <f>VLOOKUP($C53,DATOS!$A$1:$O$1101,13,FALSE)</f>
        <v>427085884</v>
      </c>
      <c r="P53" s="80">
        <f t="shared" si="8"/>
        <v>0.97801416300623822</v>
      </c>
      <c r="Q53" s="91">
        <f t="shared" si="9"/>
        <v>430316629</v>
      </c>
      <c r="R53" s="91">
        <f>AG53</f>
        <v>430316629</v>
      </c>
      <c r="S53" s="97">
        <v>0</v>
      </c>
      <c r="T53" s="91">
        <f>+Q53-L53</f>
        <v>0</v>
      </c>
      <c r="U53" s="91">
        <f t="shared" ref="U53:U54" si="98">+V53-L53</f>
        <v>0</v>
      </c>
      <c r="V53" s="91">
        <f>SUM(W53:X53)</f>
        <v>430316629</v>
      </c>
      <c r="W53" s="91">
        <f>AH53</f>
        <v>430316629</v>
      </c>
      <c r="X53" s="97">
        <v>0</v>
      </c>
      <c r="Y53" s="91">
        <f>+L53-V53</f>
        <v>0</v>
      </c>
      <c r="Z53" s="91">
        <f t="shared" ref="Z53:Z54" si="99">SUM(AA53:AB53)</f>
        <v>427085884</v>
      </c>
      <c r="AA53" s="91">
        <f>AI53</f>
        <v>427085884</v>
      </c>
      <c r="AB53" s="97">
        <v>0</v>
      </c>
      <c r="AC53" s="81">
        <f>+O53-Z53</f>
        <v>0</v>
      </c>
      <c r="AD53" s="81">
        <f t="shared" ref="AD53:AD54" si="100">+L53-O53</f>
        <v>3230745</v>
      </c>
      <c r="AE53" s="29">
        <f t="shared" si="12"/>
        <v>12</v>
      </c>
      <c r="AG53" s="29">
        <v>430316629</v>
      </c>
      <c r="AH53" s="29">
        <v>430316629</v>
      </c>
      <c r="AI53" s="29">
        <v>427085884</v>
      </c>
      <c r="AK53" s="168">
        <f t="shared" si="13"/>
        <v>0</v>
      </c>
      <c r="AL53" s="168"/>
    </row>
    <row r="54" spans="1:38" s="177" customFormat="1" x14ac:dyDescent="0.2">
      <c r="A54" s="66" t="s">
        <v>112</v>
      </c>
      <c r="B54" s="66" t="str">
        <f t="shared" si="3"/>
        <v>FUNCIONAMIENTO</v>
      </c>
      <c r="C54" s="67" t="s">
        <v>297</v>
      </c>
      <c r="D54" s="71" t="s">
        <v>298</v>
      </c>
      <c r="E54" s="68">
        <f>VLOOKUP($C54,DATOS!$A$1:$O$1101,3,FALSE)</f>
        <v>0</v>
      </c>
      <c r="F54" s="192">
        <f>VLOOKUP($C54,DATOS!$A$1:$O$1101,4,FALSE)</f>
        <v>0</v>
      </c>
      <c r="G54" s="68">
        <f>VLOOKUP($C54,DATOS!$A$1:$O$1101,5,FALSE)</f>
        <v>13741736</v>
      </c>
      <c r="H54" s="68">
        <f t="shared" si="96"/>
        <v>13741736</v>
      </c>
      <c r="I54" s="68">
        <f>VLOOKUP($C54,DATOS!$A$1:$O$1101,7,FALSE)</f>
        <v>0</v>
      </c>
      <c r="J54" s="68">
        <f t="shared" si="97"/>
        <v>13741736</v>
      </c>
      <c r="K54" s="68">
        <f>VLOOKUP($C54,DATOS!$A$1:$O$1101,9,FALSE)</f>
        <v>0</v>
      </c>
      <c r="L54" s="68">
        <f>VLOOKUP($C54,DATOS!$A$1:$O$1101,10,FALSE)</f>
        <v>13741736</v>
      </c>
      <c r="M54" s="69">
        <f t="shared" si="7"/>
        <v>1</v>
      </c>
      <c r="N54" s="68">
        <f>VLOOKUP($C54,DATOS!$A$1:$O$1101,12,FALSE)</f>
        <v>0</v>
      </c>
      <c r="O54" s="68">
        <f>VLOOKUP($C54,DATOS!$A$1:$O$1101,13,FALSE)</f>
        <v>13741736</v>
      </c>
      <c r="P54" s="69">
        <f t="shared" si="8"/>
        <v>1</v>
      </c>
      <c r="Q54" s="72">
        <f t="shared" si="9"/>
        <v>13741736</v>
      </c>
      <c r="R54" s="72">
        <f t="shared" ref="R54" si="101">AG54</f>
        <v>13741736</v>
      </c>
      <c r="S54" s="97">
        <v>0</v>
      </c>
      <c r="T54" s="72">
        <f t="shared" ref="T54" si="102">+Q54-L54</f>
        <v>0</v>
      </c>
      <c r="U54" s="72">
        <f t="shared" si="98"/>
        <v>0</v>
      </c>
      <c r="V54" s="72">
        <f t="shared" ref="V54" si="103">SUM(W54:X54)</f>
        <v>13741736</v>
      </c>
      <c r="W54" s="72">
        <f t="shared" ref="W54" si="104">AH54</f>
        <v>13741736</v>
      </c>
      <c r="X54" s="97">
        <v>0</v>
      </c>
      <c r="Y54" s="72">
        <f t="shared" ref="Y54" si="105">+L54-V54</f>
        <v>0</v>
      </c>
      <c r="Z54" s="72">
        <f t="shared" si="99"/>
        <v>13741736</v>
      </c>
      <c r="AA54" s="72">
        <f t="shared" ref="AA54" si="106">AI54</f>
        <v>13741736</v>
      </c>
      <c r="AB54" s="97">
        <v>0</v>
      </c>
      <c r="AC54" s="72">
        <f t="shared" ref="AC54" si="107">+O54-Z54</f>
        <v>0</v>
      </c>
      <c r="AD54" s="72">
        <f t="shared" si="100"/>
        <v>0</v>
      </c>
      <c r="AE54" s="29">
        <f t="shared" si="12"/>
        <v>12</v>
      </c>
      <c r="AG54" s="176">
        <v>13741736</v>
      </c>
      <c r="AH54" s="176">
        <v>13741736</v>
      </c>
      <c r="AI54" s="176">
        <v>13741736</v>
      </c>
      <c r="AK54" s="168">
        <f t="shared" si="13"/>
        <v>0</v>
      </c>
      <c r="AL54" s="178"/>
    </row>
    <row r="55" spans="1:38" hidden="1" x14ac:dyDescent="0.2">
      <c r="A55" s="75"/>
      <c r="B55" s="75" t="str">
        <f t="shared" si="3"/>
        <v>FUNCIONAMIENTO</v>
      </c>
      <c r="C55" s="59" t="s">
        <v>60</v>
      </c>
      <c r="D55" s="58" t="s">
        <v>61</v>
      </c>
      <c r="E55" s="60">
        <f>SUM(E56,E59,E62,E65,E68)</f>
        <v>23590394000</v>
      </c>
      <c r="F55" s="60">
        <f t="shared" ref="F55:AD55" si="108">SUM(F56,F59,F62,F65,F68)</f>
        <v>0</v>
      </c>
      <c r="G55" s="60">
        <f t="shared" si="108"/>
        <v>1528709147</v>
      </c>
      <c r="H55" s="60">
        <f t="shared" si="108"/>
        <v>25119103147</v>
      </c>
      <c r="I55" s="60">
        <f t="shared" si="108"/>
        <v>0</v>
      </c>
      <c r="J55" s="60">
        <f t="shared" si="108"/>
        <v>25119103147</v>
      </c>
      <c r="K55" s="60">
        <f t="shared" si="108"/>
        <v>2020261255</v>
      </c>
      <c r="L55" s="60">
        <f t="shared" si="108"/>
        <v>19478624925</v>
      </c>
      <c r="M55" s="61">
        <f t="shared" si="7"/>
        <v>0.77545065247786726</v>
      </c>
      <c r="N55" s="60">
        <f t="shared" si="108"/>
        <v>1804718321</v>
      </c>
      <c r="O55" s="60">
        <f t="shared" si="108"/>
        <v>13998584566</v>
      </c>
      <c r="P55" s="61">
        <f t="shared" si="8"/>
        <v>0.55728839059573931</v>
      </c>
      <c r="Q55" s="84">
        <f t="shared" si="108"/>
        <v>19478624925</v>
      </c>
      <c r="R55" s="84">
        <f t="shared" si="108"/>
        <v>22666968057</v>
      </c>
      <c r="S55" s="84">
        <f t="shared" si="108"/>
        <v>-3188343132</v>
      </c>
      <c r="T55" s="84">
        <f t="shared" si="108"/>
        <v>0</v>
      </c>
      <c r="U55" s="84">
        <f t="shared" si="108"/>
        <v>0</v>
      </c>
      <c r="V55" s="84">
        <f t="shared" si="108"/>
        <v>19478624925</v>
      </c>
      <c r="W55" s="84">
        <f t="shared" si="108"/>
        <v>17458363670</v>
      </c>
      <c r="X55" s="74">
        <f t="shared" si="108"/>
        <v>2020261255</v>
      </c>
      <c r="Y55" s="84">
        <f t="shared" si="108"/>
        <v>0</v>
      </c>
      <c r="Z55" s="84">
        <f t="shared" si="108"/>
        <v>13998584566</v>
      </c>
      <c r="AA55" s="84">
        <f t="shared" si="108"/>
        <v>12193866245</v>
      </c>
      <c r="AB55" s="84">
        <f t="shared" si="108"/>
        <v>1804718321</v>
      </c>
      <c r="AC55" s="84">
        <f t="shared" si="108"/>
        <v>0</v>
      </c>
      <c r="AD55" s="84">
        <f t="shared" si="108"/>
        <v>5480040359</v>
      </c>
      <c r="AE55" s="29">
        <f t="shared" si="12"/>
        <v>8</v>
      </c>
      <c r="AG55" s="29">
        <v>22666968057</v>
      </c>
      <c r="AH55" s="29">
        <v>17458363670</v>
      </c>
      <c r="AI55" s="29">
        <v>12193866245</v>
      </c>
      <c r="AK55" s="168">
        <f t="shared" si="13"/>
        <v>1</v>
      </c>
      <c r="AL55" s="168"/>
    </row>
    <row r="56" spans="1:38" ht="60" hidden="1" x14ac:dyDescent="0.2">
      <c r="A56" s="75"/>
      <c r="B56" s="75" t="str">
        <f t="shared" si="3"/>
        <v>FUNCIONAMIENTO</v>
      </c>
      <c r="C56" s="59" t="s">
        <v>62</v>
      </c>
      <c r="D56" s="58" t="s">
        <v>163</v>
      </c>
      <c r="E56" s="60">
        <f>SUM(E57:E58)</f>
        <v>394780000</v>
      </c>
      <c r="F56" s="60">
        <f t="shared" ref="F56:O56" si="109">SUM(F57:F58)</f>
        <v>0</v>
      </c>
      <c r="G56" s="60">
        <f t="shared" si="109"/>
        <v>-275995119</v>
      </c>
      <c r="H56" s="60">
        <f t="shared" si="5"/>
        <v>118784881</v>
      </c>
      <c r="I56" s="60">
        <f t="shared" si="109"/>
        <v>0</v>
      </c>
      <c r="J56" s="60">
        <f t="shared" si="6"/>
        <v>118784881</v>
      </c>
      <c r="K56" s="60">
        <f t="shared" si="109"/>
        <v>2254013</v>
      </c>
      <c r="L56" s="60">
        <f t="shared" si="109"/>
        <v>47318092</v>
      </c>
      <c r="M56" s="61">
        <f t="shared" si="7"/>
        <v>0.39835113359249819</v>
      </c>
      <c r="N56" s="60">
        <f t="shared" si="109"/>
        <v>2254013</v>
      </c>
      <c r="O56" s="60">
        <f t="shared" si="109"/>
        <v>44249092</v>
      </c>
      <c r="P56" s="61">
        <f t="shared" si="8"/>
        <v>0.37251451217937409</v>
      </c>
      <c r="Q56" s="76">
        <f t="shared" si="9"/>
        <v>47318092</v>
      </c>
      <c r="R56" s="76">
        <f>SUM(R57:R58)</f>
        <v>54970381</v>
      </c>
      <c r="S56" s="84">
        <f>SUM(S57:S58)</f>
        <v>-7652289</v>
      </c>
      <c r="T56" s="76">
        <f t="shared" si="76"/>
        <v>0</v>
      </c>
      <c r="U56" s="76">
        <f t="shared" si="77"/>
        <v>0</v>
      </c>
      <c r="V56" s="76">
        <f t="shared" si="38"/>
        <v>47318092</v>
      </c>
      <c r="W56" s="76">
        <f>SUM(W57:W58)</f>
        <v>45064079</v>
      </c>
      <c r="X56" s="74">
        <f>SUM(X57:X58)</f>
        <v>2254013</v>
      </c>
      <c r="Y56" s="76">
        <f t="shared" si="1"/>
        <v>0</v>
      </c>
      <c r="Z56" s="76">
        <f t="shared" si="11"/>
        <v>44249092</v>
      </c>
      <c r="AA56" s="76">
        <f>SUM(AA57:AA58)</f>
        <v>41995079</v>
      </c>
      <c r="AB56" s="76">
        <f>SUM(AB57:AB58)</f>
        <v>2254013</v>
      </c>
      <c r="AC56" s="76">
        <f t="shared" si="2"/>
        <v>0</v>
      </c>
      <c r="AD56" s="76">
        <f t="shared" si="78"/>
        <v>3069000</v>
      </c>
      <c r="AE56" s="29">
        <f t="shared" si="12"/>
        <v>11</v>
      </c>
      <c r="AG56" s="29">
        <v>54970381</v>
      </c>
      <c r="AH56" s="29">
        <v>45064079</v>
      </c>
      <c r="AI56" s="29">
        <v>41995079</v>
      </c>
      <c r="AK56" s="168">
        <f t="shared" si="13"/>
        <v>0</v>
      </c>
      <c r="AL56" s="168"/>
    </row>
    <row r="57" spans="1:38" ht="60" x14ac:dyDescent="0.2">
      <c r="A57" s="77" t="s">
        <v>111</v>
      </c>
      <c r="B57" s="77" t="str">
        <f t="shared" si="3"/>
        <v>FUNCIONAMIENTO</v>
      </c>
      <c r="C57" s="78" t="s">
        <v>63</v>
      </c>
      <c r="D57" s="82" t="s">
        <v>163</v>
      </c>
      <c r="E57" s="79">
        <f>VLOOKUP($C57,DATOS!$A$1:$O$1101,3,FALSE)</f>
        <v>354780000</v>
      </c>
      <c r="F57" s="191">
        <f>VLOOKUP($C57,DATOS!$A$1:$O$1101,4,FALSE)</f>
        <v>0</v>
      </c>
      <c r="G57" s="79">
        <f>VLOOKUP($C57,DATOS!$A$1:$O$1101,5,FALSE)</f>
        <v>-250247639</v>
      </c>
      <c r="H57" s="79">
        <f t="shared" ref="H57:H58" si="110">E57+G57</f>
        <v>104532361</v>
      </c>
      <c r="I57" s="79">
        <f>VLOOKUP($C57,DATOS!$A$1:$O$1101,7,FALSE)</f>
        <v>0</v>
      </c>
      <c r="J57" s="79">
        <f t="shared" ref="J57:J58" si="111">H57-I57</f>
        <v>104532361</v>
      </c>
      <c r="K57" s="92">
        <f>VLOOKUP($C57,DATOS!$A$1:$O$1101,9,FALSE)</f>
        <v>2254013</v>
      </c>
      <c r="L57" s="79">
        <f>VLOOKUP($C57,DATOS!$A$1:$O$1101,10,FALSE)</f>
        <v>33065572</v>
      </c>
      <c r="M57" s="80">
        <f t="shared" si="7"/>
        <v>0.3163190009646869</v>
      </c>
      <c r="N57" s="79">
        <f>VLOOKUP($C57,DATOS!$A$1:$O$1101,12,FALSE)</f>
        <v>2254013</v>
      </c>
      <c r="O57" s="79">
        <f>VLOOKUP($C57,DATOS!$A$1:$O$1101,13,FALSE)</f>
        <v>29996572</v>
      </c>
      <c r="P57" s="80">
        <f t="shared" si="8"/>
        <v>0.28695967175179371</v>
      </c>
      <c r="Q57" s="81">
        <f t="shared" si="9"/>
        <v>33065572</v>
      </c>
      <c r="R57" s="81">
        <f t="shared" ref="R57:R58" si="112">AG57</f>
        <v>40717861</v>
      </c>
      <c r="S57" s="97">
        <v>-7652289</v>
      </c>
      <c r="T57" s="81">
        <f t="shared" si="76"/>
        <v>0</v>
      </c>
      <c r="U57" s="81">
        <f t="shared" si="77"/>
        <v>0</v>
      </c>
      <c r="V57" s="81">
        <f t="shared" si="38"/>
        <v>33065572</v>
      </c>
      <c r="W57" s="81">
        <f t="shared" ref="W57:W58" si="113">AH57</f>
        <v>30811559</v>
      </c>
      <c r="X57" s="97">
        <v>2254013</v>
      </c>
      <c r="Y57" s="81">
        <f t="shared" si="1"/>
        <v>0</v>
      </c>
      <c r="Z57" s="81">
        <f t="shared" ref="Z57:Z58" si="114">SUM(AA57:AB57)</f>
        <v>29996572</v>
      </c>
      <c r="AA57" s="81">
        <f t="shared" ref="AA57:AA58" si="115">AI57</f>
        <v>27742559</v>
      </c>
      <c r="AB57" s="97">
        <v>2254013</v>
      </c>
      <c r="AC57" s="81">
        <f t="shared" si="2"/>
        <v>0</v>
      </c>
      <c r="AD57" s="81">
        <f t="shared" si="78"/>
        <v>3069000</v>
      </c>
      <c r="AE57" s="29">
        <f t="shared" si="12"/>
        <v>12</v>
      </c>
      <c r="AG57" s="29">
        <v>40717861</v>
      </c>
      <c r="AH57" s="29">
        <v>30811559</v>
      </c>
      <c r="AI57" s="29">
        <v>27742559</v>
      </c>
      <c r="AK57" s="168">
        <f t="shared" si="13"/>
        <v>0</v>
      </c>
      <c r="AL57" s="168"/>
    </row>
    <row r="58" spans="1:38" ht="60" x14ac:dyDescent="0.2">
      <c r="A58" s="66" t="s">
        <v>112</v>
      </c>
      <c r="B58" s="66" t="str">
        <f t="shared" si="3"/>
        <v>FUNCIONAMIENTO</v>
      </c>
      <c r="C58" s="67" t="s">
        <v>64</v>
      </c>
      <c r="D58" s="70" t="s">
        <v>163</v>
      </c>
      <c r="E58" s="68">
        <f>VLOOKUP($C58,DATOS!$A$1:$O$1101,3,FALSE)</f>
        <v>40000000</v>
      </c>
      <c r="F58" s="192">
        <f>VLOOKUP($C58,DATOS!$A$1:$O$1101,4,FALSE)</f>
        <v>0</v>
      </c>
      <c r="G58" s="68">
        <f>VLOOKUP($C58,DATOS!$A$1:$O$1101,5,FALSE)</f>
        <v>-25747480</v>
      </c>
      <c r="H58" s="130">
        <f t="shared" si="110"/>
        <v>14252520</v>
      </c>
      <c r="I58" s="68">
        <f>VLOOKUP($C58,DATOS!$A$1:$O$1101,7,FALSE)</f>
        <v>0</v>
      </c>
      <c r="J58" s="68">
        <f t="shared" si="111"/>
        <v>14252520</v>
      </c>
      <c r="K58" s="68">
        <f>VLOOKUP($C58,DATOS!$A$1:$O$1101,9,FALSE)</f>
        <v>0</v>
      </c>
      <c r="L58" s="68">
        <f>VLOOKUP($C58,DATOS!$A$1:$O$1101,10,FALSE)</f>
        <v>14252520</v>
      </c>
      <c r="M58" s="69">
        <f t="shared" si="7"/>
        <v>1</v>
      </c>
      <c r="N58" s="68">
        <f>VLOOKUP($C58,DATOS!$A$1:$O$1101,12,FALSE)</f>
        <v>0</v>
      </c>
      <c r="O58" s="68">
        <f>VLOOKUP($C58,DATOS!$A$1:$O$1101,13,FALSE)</f>
        <v>14252520</v>
      </c>
      <c r="P58" s="69">
        <f t="shared" si="8"/>
        <v>1</v>
      </c>
      <c r="Q58" s="73">
        <f t="shared" si="9"/>
        <v>14252520</v>
      </c>
      <c r="R58" s="73">
        <f t="shared" si="112"/>
        <v>14252520</v>
      </c>
      <c r="S58" s="97">
        <v>0</v>
      </c>
      <c r="T58" s="73">
        <f t="shared" si="76"/>
        <v>0</v>
      </c>
      <c r="U58" s="73">
        <f t="shared" si="77"/>
        <v>0</v>
      </c>
      <c r="V58" s="73">
        <f t="shared" si="38"/>
        <v>14252520</v>
      </c>
      <c r="W58" s="73">
        <f t="shared" si="113"/>
        <v>14252520</v>
      </c>
      <c r="X58" s="97">
        <v>0</v>
      </c>
      <c r="Y58" s="73">
        <f t="shared" si="1"/>
        <v>0</v>
      </c>
      <c r="Z58" s="73">
        <f t="shared" si="114"/>
        <v>14252520</v>
      </c>
      <c r="AA58" s="73">
        <f t="shared" si="115"/>
        <v>14252520</v>
      </c>
      <c r="AB58" s="97">
        <v>0</v>
      </c>
      <c r="AC58" s="73">
        <f t="shared" si="2"/>
        <v>0</v>
      </c>
      <c r="AD58" s="73">
        <f t="shared" si="78"/>
        <v>0</v>
      </c>
      <c r="AE58" s="29">
        <f t="shared" si="12"/>
        <v>12</v>
      </c>
      <c r="AG58" s="29">
        <v>14252520</v>
      </c>
      <c r="AH58" s="29">
        <v>14252520</v>
      </c>
      <c r="AI58" s="29">
        <v>14252520</v>
      </c>
      <c r="AK58" s="168">
        <f t="shared" si="13"/>
        <v>0</v>
      </c>
      <c r="AL58" s="168"/>
    </row>
    <row r="59" spans="1:38" ht="36" hidden="1" x14ac:dyDescent="0.2">
      <c r="A59" s="75"/>
      <c r="B59" s="75" t="str">
        <f t="shared" si="3"/>
        <v>FUNCIONAMIENTO</v>
      </c>
      <c r="C59" s="59" t="s">
        <v>65</v>
      </c>
      <c r="D59" s="58" t="s">
        <v>164</v>
      </c>
      <c r="E59" s="60">
        <f>SUM(E60:E61)</f>
        <v>5463686000</v>
      </c>
      <c r="F59" s="60">
        <f t="shared" ref="F59:O59" si="116">SUM(F60:F61)</f>
        <v>0</v>
      </c>
      <c r="G59" s="60">
        <f t="shared" si="116"/>
        <v>2148040714</v>
      </c>
      <c r="H59" s="60">
        <f t="shared" si="5"/>
        <v>7611726714</v>
      </c>
      <c r="I59" s="60">
        <f t="shared" si="116"/>
        <v>0</v>
      </c>
      <c r="J59" s="60">
        <f t="shared" si="6"/>
        <v>7611726714</v>
      </c>
      <c r="K59" s="60">
        <f t="shared" si="116"/>
        <v>-5</v>
      </c>
      <c r="L59" s="60">
        <f t="shared" si="116"/>
        <v>5242190991</v>
      </c>
      <c r="M59" s="61">
        <f t="shared" si="7"/>
        <v>0.68869931724666489</v>
      </c>
      <c r="N59" s="60">
        <f t="shared" si="116"/>
        <v>458983466</v>
      </c>
      <c r="O59" s="60">
        <f t="shared" si="116"/>
        <v>4732308774</v>
      </c>
      <c r="P59" s="61">
        <f t="shared" si="8"/>
        <v>0.62171291111857963</v>
      </c>
      <c r="Q59" s="76">
        <f t="shared" si="9"/>
        <v>5242190991</v>
      </c>
      <c r="R59" s="76">
        <f>SUM(R60:R61)</f>
        <v>7376130757</v>
      </c>
      <c r="S59" s="84">
        <f>SUM(S60:S61)</f>
        <v>-2133939766</v>
      </c>
      <c r="T59" s="76">
        <f t="shared" si="76"/>
        <v>0</v>
      </c>
      <c r="U59" s="76">
        <f t="shared" si="77"/>
        <v>0</v>
      </c>
      <c r="V59" s="76">
        <f t="shared" si="38"/>
        <v>5242190991</v>
      </c>
      <c r="W59" s="76">
        <f>SUM(W60:W61)</f>
        <v>5242190996</v>
      </c>
      <c r="X59" s="74">
        <f>SUM(X60:X61)</f>
        <v>-5</v>
      </c>
      <c r="Y59" s="76">
        <f t="shared" si="1"/>
        <v>0</v>
      </c>
      <c r="Z59" s="76">
        <f t="shared" si="11"/>
        <v>4732308774</v>
      </c>
      <c r="AA59" s="76">
        <f>SUM(AA60:AA61)</f>
        <v>4273325308</v>
      </c>
      <c r="AB59" s="76">
        <f>SUM(AB60:AB61)</f>
        <v>458983466</v>
      </c>
      <c r="AC59" s="76">
        <f t="shared" si="2"/>
        <v>0</v>
      </c>
      <c r="AD59" s="76">
        <f t="shared" si="78"/>
        <v>509882217</v>
      </c>
      <c r="AE59" s="29">
        <f t="shared" si="12"/>
        <v>11</v>
      </c>
      <c r="AG59" s="29">
        <v>7376130757</v>
      </c>
      <c r="AH59" s="29">
        <v>5242190996</v>
      </c>
      <c r="AI59" s="29">
        <v>4273325308</v>
      </c>
      <c r="AK59" s="168">
        <f t="shared" si="13"/>
        <v>0</v>
      </c>
      <c r="AL59" s="168"/>
    </row>
    <row r="60" spans="1:38" ht="48" x14ac:dyDescent="0.2">
      <c r="A60" s="77" t="s">
        <v>111</v>
      </c>
      <c r="B60" s="77" t="str">
        <f t="shared" si="3"/>
        <v>FUNCIONAMIENTO</v>
      </c>
      <c r="C60" s="78" t="s">
        <v>66</v>
      </c>
      <c r="D60" s="82" t="s">
        <v>165</v>
      </c>
      <c r="E60" s="79">
        <f>VLOOKUP($C60,DATOS!$A$1:$O$1101,3,FALSE)</f>
        <v>4603686000</v>
      </c>
      <c r="F60" s="191">
        <f>VLOOKUP($C60,DATOS!$A$1:$O$1101,4,FALSE)</f>
        <v>0</v>
      </c>
      <c r="G60" s="79">
        <f>VLOOKUP($C60,DATOS!$A$1:$O$1101,5,FALSE)</f>
        <v>2515387596</v>
      </c>
      <c r="H60" s="79">
        <f t="shared" ref="H60:H61" si="117">E60+G60</f>
        <v>7119073596</v>
      </c>
      <c r="I60" s="79">
        <f>VLOOKUP($C60,DATOS!$A$1:$O$1101,7,FALSE)</f>
        <v>0</v>
      </c>
      <c r="J60" s="79">
        <f t="shared" ref="J60:J61" si="118">H60-I60</f>
        <v>7119073596</v>
      </c>
      <c r="K60" s="79">
        <f>VLOOKUP($C60,DATOS!$A$1:$O$1101,9,FALSE)</f>
        <v>-5</v>
      </c>
      <c r="L60" s="79">
        <f>VLOOKUP($C60,DATOS!$A$1:$O$1101,10,FALSE)</f>
        <v>4809868371</v>
      </c>
      <c r="M60" s="80">
        <f t="shared" si="7"/>
        <v>0.67563121888535116</v>
      </c>
      <c r="N60" s="79">
        <f>VLOOKUP($C60,DATOS!$A$1:$O$1101,12,FALSE)</f>
        <v>458983466</v>
      </c>
      <c r="O60" s="79">
        <f>VLOOKUP($C60,DATOS!$A$1:$O$1101,13,FALSE)</f>
        <v>4299986154</v>
      </c>
      <c r="P60" s="80">
        <f t="shared" si="8"/>
        <v>0.60400922901204968</v>
      </c>
      <c r="Q60" s="81">
        <f t="shared" si="9"/>
        <v>4809868371</v>
      </c>
      <c r="R60" s="81">
        <f t="shared" ref="R60:R61" si="119">AG60</f>
        <v>6943808137</v>
      </c>
      <c r="S60" s="97">
        <v>-2133939766</v>
      </c>
      <c r="T60" s="81">
        <f t="shared" si="76"/>
        <v>0</v>
      </c>
      <c r="U60" s="81">
        <f t="shared" si="77"/>
        <v>0</v>
      </c>
      <c r="V60" s="81">
        <f t="shared" si="38"/>
        <v>4809868371</v>
      </c>
      <c r="W60" s="81">
        <f t="shared" ref="W60:W61" si="120">AH60</f>
        <v>4809868376</v>
      </c>
      <c r="X60" s="97">
        <v>-5</v>
      </c>
      <c r="Y60" s="81">
        <f t="shared" si="1"/>
        <v>0</v>
      </c>
      <c r="Z60" s="81">
        <f t="shared" ref="Z60:Z61" si="121">SUM(AA60:AB60)</f>
        <v>4299986154</v>
      </c>
      <c r="AA60" s="81">
        <f t="shared" ref="AA60:AA61" si="122">AI60</f>
        <v>3841002688</v>
      </c>
      <c r="AB60" s="97">
        <v>458983466</v>
      </c>
      <c r="AC60" s="81">
        <f t="shared" si="2"/>
        <v>0</v>
      </c>
      <c r="AD60" s="81">
        <f t="shared" si="78"/>
        <v>509882217</v>
      </c>
      <c r="AE60" s="29">
        <f t="shared" si="12"/>
        <v>12</v>
      </c>
      <c r="AG60" s="29">
        <v>6943808137</v>
      </c>
      <c r="AH60" s="29">
        <v>4809868376</v>
      </c>
      <c r="AI60" s="29">
        <v>3841002688</v>
      </c>
      <c r="AK60" s="168">
        <f t="shared" si="13"/>
        <v>0</v>
      </c>
      <c r="AL60" s="168"/>
    </row>
    <row r="61" spans="1:38" ht="36" x14ac:dyDescent="0.2">
      <c r="A61" s="66" t="s">
        <v>112</v>
      </c>
      <c r="B61" s="66" t="str">
        <f t="shared" si="3"/>
        <v>FUNCIONAMIENTO</v>
      </c>
      <c r="C61" s="67" t="s">
        <v>67</v>
      </c>
      <c r="D61" s="70" t="s">
        <v>166</v>
      </c>
      <c r="E61" s="68">
        <f>VLOOKUP($C61,DATOS!$A$1:$O$1101,3,FALSE)</f>
        <v>860000000</v>
      </c>
      <c r="F61" s="192">
        <f>VLOOKUP($C61,DATOS!$A$1:$O$1101,4,FALSE)</f>
        <v>0</v>
      </c>
      <c r="G61" s="68">
        <f>VLOOKUP($C61,DATOS!$A$1:$O$1101,5,FALSE)</f>
        <v>-367346882</v>
      </c>
      <c r="H61" s="130">
        <f t="shared" si="117"/>
        <v>492653118</v>
      </c>
      <c r="I61" s="68">
        <f>VLOOKUP($C61,DATOS!$A$1:$O$1101,7,FALSE)</f>
        <v>0</v>
      </c>
      <c r="J61" s="68">
        <f t="shared" si="118"/>
        <v>492653118</v>
      </c>
      <c r="K61" s="68">
        <f>VLOOKUP($C61,DATOS!$A$1:$O$1101,9,FALSE)</f>
        <v>0</v>
      </c>
      <c r="L61" s="68">
        <f>VLOOKUP($C61,DATOS!$A$1:$O$1101,10,FALSE)</f>
        <v>432322620</v>
      </c>
      <c r="M61" s="69">
        <f t="shared" si="7"/>
        <v>0.8775395997798191</v>
      </c>
      <c r="N61" s="68">
        <f>VLOOKUP($C61,DATOS!$A$1:$O$1101,12,FALSE)</f>
        <v>0</v>
      </c>
      <c r="O61" s="68">
        <f>VLOOKUP($C61,DATOS!$A$1:$O$1101,13,FALSE)</f>
        <v>432322620</v>
      </c>
      <c r="P61" s="69">
        <f t="shared" si="8"/>
        <v>0.8775395997798191</v>
      </c>
      <c r="Q61" s="73">
        <f t="shared" si="9"/>
        <v>432322620</v>
      </c>
      <c r="R61" s="73">
        <f t="shared" si="119"/>
        <v>432322620</v>
      </c>
      <c r="S61" s="97">
        <v>0</v>
      </c>
      <c r="T61" s="73">
        <f t="shared" si="76"/>
        <v>0</v>
      </c>
      <c r="U61" s="73">
        <f t="shared" si="77"/>
        <v>0</v>
      </c>
      <c r="V61" s="73">
        <f t="shared" si="38"/>
        <v>432322620</v>
      </c>
      <c r="W61" s="73">
        <f t="shared" si="120"/>
        <v>432322620</v>
      </c>
      <c r="X61" s="97">
        <v>0</v>
      </c>
      <c r="Y61" s="73">
        <f t="shared" si="1"/>
        <v>0</v>
      </c>
      <c r="Z61" s="73">
        <f t="shared" si="121"/>
        <v>432322620</v>
      </c>
      <c r="AA61" s="73">
        <f t="shared" si="122"/>
        <v>432322620</v>
      </c>
      <c r="AB61" s="97">
        <v>0</v>
      </c>
      <c r="AC61" s="73">
        <f t="shared" si="2"/>
        <v>0</v>
      </c>
      <c r="AD61" s="73">
        <f t="shared" si="78"/>
        <v>0</v>
      </c>
      <c r="AE61" s="29">
        <f t="shared" si="12"/>
        <v>12</v>
      </c>
      <c r="AG61" s="29">
        <v>432322620</v>
      </c>
      <c r="AH61" s="29">
        <v>432322620</v>
      </c>
      <c r="AI61" s="29">
        <v>432322620</v>
      </c>
      <c r="AK61" s="168">
        <f t="shared" si="13"/>
        <v>0</v>
      </c>
      <c r="AL61" s="168"/>
    </row>
    <row r="62" spans="1:38" ht="36" hidden="1" x14ac:dyDescent="0.2">
      <c r="A62" s="75"/>
      <c r="B62" s="75" t="str">
        <f t="shared" si="3"/>
        <v>FUNCIONAMIENTO</v>
      </c>
      <c r="C62" s="59" t="s">
        <v>68</v>
      </c>
      <c r="D62" s="58" t="s">
        <v>167</v>
      </c>
      <c r="E62" s="60">
        <f>SUM(E63:E64)</f>
        <v>16118213000</v>
      </c>
      <c r="F62" s="60">
        <f t="shared" ref="F62:O62" si="123">SUM(F63:F64)</f>
        <v>0</v>
      </c>
      <c r="G62" s="60">
        <f t="shared" si="123"/>
        <v>-497376219</v>
      </c>
      <c r="H62" s="60">
        <f t="shared" si="5"/>
        <v>15620836781</v>
      </c>
      <c r="I62" s="60">
        <f t="shared" si="123"/>
        <v>0</v>
      </c>
      <c r="J62" s="60">
        <f t="shared" si="6"/>
        <v>15620836781</v>
      </c>
      <c r="K62" s="60">
        <f t="shared" si="123"/>
        <v>1957075960</v>
      </c>
      <c r="L62" s="60">
        <f t="shared" si="123"/>
        <v>12979007214</v>
      </c>
      <c r="M62" s="61">
        <f t="shared" si="7"/>
        <v>0.83087784578779278</v>
      </c>
      <c r="N62" s="60">
        <f t="shared" si="123"/>
        <v>1198008184</v>
      </c>
      <c r="O62" s="60">
        <f t="shared" si="123"/>
        <v>8485172498</v>
      </c>
      <c r="P62" s="61">
        <f t="shared" si="8"/>
        <v>0.54319577222141646</v>
      </c>
      <c r="Q62" s="76">
        <f t="shared" si="9"/>
        <v>12979007214</v>
      </c>
      <c r="R62" s="76">
        <f>SUM(R63:R64)</f>
        <v>13726182011</v>
      </c>
      <c r="S62" s="84">
        <f>SUM(S63:S64)</f>
        <v>-747174797</v>
      </c>
      <c r="T62" s="76">
        <f t="shared" si="76"/>
        <v>0</v>
      </c>
      <c r="U62" s="76">
        <f t="shared" si="77"/>
        <v>0</v>
      </c>
      <c r="V62" s="76">
        <f t="shared" si="38"/>
        <v>12979007214</v>
      </c>
      <c r="W62" s="76">
        <f>SUM(W63:W64)</f>
        <v>11021931254</v>
      </c>
      <c r="X62" s="74">
        <f>SUM(X63:X64)</f>
        <v>1957075960</v>
      </c>
      <c r="Y62" s="76">
        <f t="shared" si="1"/>
        <v>0</v>
      </c>
      <c r="Z62" s="76">
        <f t="shared" si="11"/>
        <v>8485172498</v>
      </c>
      <c r="AA62" s="76">
        <f>SUM(AA63:AA64)</f>
        <v>7287164314</v>
      </c>
      <c r="AB62" s="76">
        <f>SUM(AB63:AB64)</f>
        <v>1198008184</v>
      </c>
      <c r="AC62" s="76">
        <f t="shared" si="2"/>
        <v>0</v>
      </c>
      <c r="AD62" s="76">
        <f t="shared" si="78"/>
        <v>4493834716</v>
      </c>
      <c r="AE62" s="29">
        <f t="shared" si="12"/>
        <v>11</v>
      </c>
      <c r="AG62" s="29">
        <v>13726182011</v>
      </c>
      <c r="AH62" s="29">
        <v>11021931254</v>
      </c>
      <c r="AI62" s="29">
        <v>7287164314</v>
      </c>
      <c r="AK62" s="168">
        <f t="shared" si="13"/>
        <v>1</v>
      </c>
      <c r="AL62" s="168"/>
    </row>
    <row r="63" spans="1:38" ht="36" x14ac:dyDescent="0.2">
      <c r="A63" s="77" t="s">
        <v>111</v>
      </c>
      <c r="B63" s="77" t="str">
        <f t="shared" si="3"/>
        <v>FUNCIONAMIENTO</v>
      </c>
      <c r="C63" s="78" t="s">
        <v>69</v>
      </c>
      <c r="D63" s="82" t="s">
        <v>168</v>
      </c>
      <c r="E63" s="79">
        <f>VLOOKUP($C63,DATOS!$A$1:$O$1101,3,FALSE)</f>
        <v>10844985000</v>
      </c>
      <c r="F63" s="191">
        <f>VLOOKUP($C63,DATOS!$A$1:$O$1101,4,FALSE)</f>
        <v>0</v>
      </c>
      <c r="G63" s="79">
        <f>VLOOKUP($C63,DATOS!$A$1:$O$1101,5,FALSE)</f>
        <v>2635113161</v>
      </c>
      <c r="H63" s="79">
        <f t="shared" ref="H63:H64" si="124">E63+G63</f>
        <v>13480098161</v>
      </c>
      <c r="I63" s="79">
        <f>VLOOKUP($C63,DATOS!$A$1:$O$1101,7,FALSE)</f>
        <v>0</v>
      </c>
      <c r="J63" s="79">
        <f t="shared" ref="J63:J64" si="125">H63-I63</f>
        <v>13480098161</v>
      </c>
      <c r="K63" s="79">
        <f>VLOOKUP($C63,DATOS!$A$1:$O$1101,9,FALSE)</f>
        <v>2000754950</v>
      </c>
      <c r="L63" s="79">
        <f>VLOOKUP($C63,DATOS!$A$1:$O$1101,10,FALSE)</f>
        <v>10933903240</v>
      </c>
      <c r="M63" s="80">
        <f t="shared" si="7"/>
        <v>0.81111451188341244</v>
      </c>
      <c r="N63" s="79">
        <f>VLOOKUP($C63,DATOS!$A$1:$O$1101,12,FALSE)</f>
        <v>1166889746</v>
      </c>
      <c r="O63" s="79">
        <f>VLOOKUP($C63,DATOS!$A$1:$O$1101,13,FALSE)</f>
        <v>6750257209</v>
      </c>
      <c r="P63" s="80">
        <f t="shared" si="8"/>
        <v>0.50075727404786519</v>
      </c>
      <c r="Q63" s="81">
        <f t="shared" si="9"/>
        <v>10933903240</v>
      </c>
      <c r="R63" s="81">
        <f t="shared" ref="R63:R64" si="126">AG63</f>
        <v>11637399047</v>
      </c>
      <c r="S63" s="97">
        <v>-703495807</v>
      </c>
      <c r="T63" s="81">
        <f t="shared" si="76"/>
        <v>0</v>
      </c>
      <c r="U63" s="81">
        <f t="shared" si="77"/>
        <v>0</v>
      </c>
      <c r="V63" s="81">
        <f t="shared" si="38"/>
        <v>10933903240</v>
      </c>
      <c r="W63" s="81">
        <f t="shared" ref="W63:W64" si="127">AH63</f>
        <v>8933148290</v>
      </c>
      <c r="X63" s="97">
        <v>2000754950</v>
      </c>
      <c r="Y63" s="81">
        <f t="shared" si="1"/>
        <v>0</v>
      </c>
      <c r="Z63" s="81">
        <f t="shared" ref="Z63:Z64" si="128">SUM(AA63:AB63)</f>
        <v>6750257209</v>
      </c>
      <c r="AA63" s="81">
        <f t="shared" ref="AA63:AA64" si="129">AI63</f>
        <v>5583367463</v>
      </c>
      <c r="AB63" s="97">
        <v>1166889746</v>
      </c>
      <c r="AC63" s="81">
        <f t="shared" si="2"/>
        <v>0</v>
      </c>
      <c r="AD63" s="81">
        <f t="shared" si="78"/>
        <v>4183646031</v>
      </c>
      <c r="AE63" s="29">
        <f t="shared" si="12"/>
        <v>12</v>
      </c>
      <c r="AG63" s="29">
        <v>11637399047</v>
      </c>
      <c r="AH63" s="29">
        <v>8933148290</v>
      </c>
      <c r="AI63" s="29">
        <v>5583367463</v>
      </c>
      <c r="AK63" s="168">
        <f t="shared" si="13"/>
        <v>1</v>
      </c>
      <c r="AL63" s="168"/>
    </row>
    <row r="64" spans="1:38" ht="36" x14ac:dyDescent="0.2">
      <c r="A64" s="66" t="s">
        <v>112</v>
      </c>
      <c r="B64" s="66" t="str">
        <f t="shared" si="3"/>
        <v>FUNCIONAMIENTO</v>
      </c>
      <c r="C64" s="67" t="s">
        <v>70</v>
      </c>
      <c r="D64" s="70" t="s">
        <v>169</v>
      </c>
      <c r="E64" s="68">
        <f>VLOOKUP($C64,DATOS!$A$1:$O$1101,3,FALSE)</f>
        <v>5273228000</v>
      </c>
      <c r="F64" s="192">
        <f>VLOOKUP($C64,DATOS!$A$1:$O$1101,4,FALSE)</f>
        <v>0</v>
      </c>
      <c r="G64" s="68">
        <f>VLOOKUP($C64,DATOS!$A$1:$O$1101,5,FALSE)</f>
        <v>-3132489380</v>
      </c>
      <c r="H64" s="130">
        <f t="shared" si="124"/>
        <v>2140738620</v>
      </c>
      <c r="I64" s="68">
        <f>VLOOKUP($C64,DATOS!$A$1:$O$1101,7,FALSE)</f>
        <v>0</v>
      </c>
      <c r="J64" s="68">
        <f t="shared" si="125"/>
        <v>2140738620</v>
      </c>
      <c r="K64" s="68">
        <f>VLOOKUP($C64,DATOS!$A$1:$O$1101,9,FALSE)</f>
        <v>-43678990</v>
      </c>
      <c r="L64" s="68">
        <f>VLOOKUP($C64,DATOS!$A$1:$O$1101,10,FALSE)</f>
        <v>2045103974</v>
      </c>
      <c r="M64" s="69">
        <f t="shared" si="7"/>
        <v>0.95532633217968477</v>
      </c>
      <c r="N64" s="68">
        <f>VLOOKUP($C64,DATOS!$A$1:$O$1101,12,FALSE)</f>
        <v>31118438</v>
      </c>
      <c r="O64" s="68">
        <f>VLOOKUP($C64,DATOS!$A$1:$O$1101,13,FALSE)</f>
        <v>1734915289</v>
      </c>
      <c r="P64" s="69">
        <f t="shared" si="8"/>
        <v>0.81042836000221274</v>
      </c>
      <c r="Q64" s="73">
        <f t="shared" si="9"/>
        <v>2045103974</v>
      </c>
      <c r="R64" s="73">
        <f t="shared" si="126"/>
        <v>2088782964</v>
      </c>
      <c r="S64" s="97">
        <v>-43678990</v>
      </c>
      <c r="T64" s="73">
        <f t="shared" si="76"/>
        <v>0</v>
      </c>
      <c r="U64" s="73">
        <f t="shared" si="77"/>
        <v>0</v>
      </c>
      <c r="V64" s="73">
        <f t="shared" si="38"/>
        <v>2045103974</v>
      </c>
      <c r="W64" s="73">
        <f t="shared" si="127"/>
        <v>2088782964</v>
      </c>
      <c r="X64" s="97">
        <v>-43678990</v>
      </c>
      <c r="Y64" s="73">
        <f t="shared" si="1"/>
        <v>0</v>
      </c>
      <c r="Z64" s="73">
        <f t="shared" si="128"/>
        <v>1734915289</v>
      </c>
      <c r="AA64" s="73">
        <f t="shared" si="129"/>
        <v>1703796851</v>
      </c>
      <c r="AB64" s="97">
        <v>31118438</v>
      </c>
      <c r="AC64" s="73">
        <f t="shared" si="2"/>
        <v>0</v>
      </c>
      <c r="AD64" s="73">
        <f t="shared" si="78"/>
        <v>310188685</v>
      </c>
      <c r="AE64" s="29">
        <f t="shared" si="12"/>
        <v>12</v>
      </c>
      <c r="AG64" s="29">
        <v>2088782964</v>
      </c>
      <c r="AH64" s="29">
        <v>2088782964</v>
      </c>
      <c r="AI64" s="29">
        <v>1703796851</v>
      </c>
      <c r="AK64" s="168">
        <f t="shared" si="13"/>
        <v>0</v>
      </c>
      <c r="AL64" s="168"/>
    </row>
    <row r="65" spans="1:38" ht="36" hidden="1" x14ac:dyDescent="0.2">
      <c r="A65" s="75"/>
      <c r="B65" s="75" t="str">
        <f t="shared" si="3"/>
        <v>FUNCIONAMIENTO</v>
      </c>
      <c r="C65" s="59" t="s">
        <v>71</v>
      </c>
      <c r="D65" s="58" t="s">
        <v>170</v>
      </c>
      <c r="E65" s="60">
        <f>SUM(E66:E67)</f>
        <v>1467412000</v>
      </c>
      <c r="F65" s="60">
        <f t="shared" ref="F65:O65" si="130">SUM(F66:F67)</f>
        <v>0</v>
      </c>
      <c r="G65" s="60">
        <f t="shared" si="130"/>
        <v>114058442</v>
      </c>
      <c r="H65" s="60">
        <f t="shared" si="5"/>
        <v>1581470442</v>
      </c>
      <c r="I65" s="60">
        <f t="shared" si="130"/>
        <v>0</v>
      </c>
      <c r="J65" s="60">
        <f t="shared" si="6"/>
        <v>1581470442</v>
      </c>
      <c r="K65" s="60">
        <f t="shared" si="130"/>
        <v>67735900</v>
      </c>
      <c r="L65" s="60">
        <f t="shared" si="130"/>
        <v>1118541176</v>
      </c>
      <c r="M65" s="61">
        <f t="shared" si="7"/>
        <v>0.70727921704653651</v>
      </c>
      <c r="N65" s="60">
        <f t="shared" si="130"/>
        <v>145472658</v>
      </c>
      <c r="O65" s="60">
        <f t="shared" si="130"/>
        <v>673977596</v>
      </c>
      <c r="P65" s="61">
        <f t="shared" si="8"/>
        <v>0.4261714782020567</v>
      </c>
      <c r="Q65" s="76">
        <f t="shared" si="9"/>
        <v>1118541176</v>
      </c>
      <c r="R65" s="76">
        <f>SUM(R66:R67)</f>
        <v>1343782429</v>
      </c>
      <c r="S65" s="84">
        <f>SUM(S66:S67)</f>
        <v>-225241253</v>
      </c>
      <c r="T65" s="76">
        <f t="shared" si="76"/>
        <v>0</v>
      </c>
      <c r="U65" s="76">
        <f t="shared" si="77"/>
        <v>0</v>
      </c>
      <c r="V65" s="76">
        <f t="shared" si="38"/>
        <v>1118541176</v>
      </c>
      <c r="W65" s="76">
        <f>SUM(W66:W67)</f>
        <v>1050805276</v>
      </c>
      <c r="X65" s="74">
        <f>SUM(X66:X67)</f>
        <v>67735900</v>
      </c>
      <c r="Y65" s="76">
        <f t="shared" si="1"/>
        <v>0</v>
      </c>
      <c r="Z65" s="76">
        <f t="shared" si="11"/>
        <v>673977596</v>
      </c>
      <c r="AA65" s="76">
        <f>SUM(AA66:AA67)</f>
        <v>528504938</v>
      </c>
      <c r="AB65" s="76">
        <f>SUM(AB66:AB67)</f>
        <v>145472658</v>
      </c>
      <c r="AC65" s="76">
        <f t="shared" si="2"/>
        <v>0</v>
      </c>
      <c r="AD65" s="76">
        <f t="shared" si="78"/>
        <v>444563580</v>
      </c>
      <c r="AE65" s="29">
        <f t="shared" si="12"/>
        <v>11</v>
      </c>
      <c r="AG65" s="29">
        <v>1343782429</v>
      </c>
      <c r="AH65" s="29">
        <v>1050805276</v>
      </c>
      <c r="AI65" s="29">
        <v>528504938</v>
      </c>
      <c r="AK65" s="168">
        <f t="shared" si="13"/>
        <v>0</v>
      </c>
      <c r="AL65" s="168"/>
    </row>
    <row r="66" spans="1:38" x14ac:dyDescent="0.2">
      <c r="A66" s="77" t="s">
        <v>111</v>
      </c>
      <c r="B66" s="77" t="str">
        <f t="shared" si="3"/>
        <v>FUNCIONAMIENTO</v>
      </c>
      <c r="C66" s="78" t="s">
        <v>72</v>
      </c>
      <c r="D66" s="83" t="s">
        <v>171</v>
      </c>
      <c r="E66" s="79">
        <f>VLOOKUP($C66,DATOS!$A$1:$O$1101,3,FALSE)</f>
        <v>667412000</v>
      </c>
      <c r="F66" s="191">
        <f>VLOOKUP($C66,DATOS!$A$1:$O$1101,4,FALSE)</f>
        <v>0</v>
      </c>
      <c r="G66" s="79">
        <f>VLOOKUP($C66,DATOS!$A$1:$O$1101,5,FALSE)</f>
        <v>450666020</v>
      </c>
      <c r="H66" s="79">
        <f t="shared" ref="H66:H67" si="131">E66+G66</f>
        <v>1118078020</v>
      </c>
      <c r="I66" s="79">
        <f>VLOOKUP($C66,DATOS!$A$1:$O$1101,7,FALSE)</f>
        <v>0</v>
      </c>
      <c r="J66" s="79">
        <f t="shared" ref="J66:J67" si="132">H66-I66</f>
        <v>1118078020</v>
      </c>
      <c r="K66" s="79">
        <f>VLOOKUP($C66,DATOS!$A$1:$O$1101,9,FALSE)</f>
        <v>68735900</v>
      </c>
      <c r="L66" s="79">
        <f>VLOOKUP($C66,DATOS!$A$1:$O$1101,10,FALSE)</f>
        <v>693881767</v>
      </c>
      <c r="M66" s="80">
        <f t="shared" si="7"/>
        <v>0.62060227872112184</v>
      </c>
      <c r="N66" s="79">
        <f>VLOOKUP($C66,DATOS!$A$1:$O$1101,12,FALSE)</f>
        <v>135126158</v>
      </c>
      <c r="O66" s="79">
        <f>VLOOKUP($C66,DATOS!$A$1:$O$1101,13,FALSE)</f>
        <v>287195897</v>
      </c>
      <c r="P66" s="80">
        <f t="shared" si="8"/>
        <v>0.2568657033433141</v>
      </c>
      <c r="Q66" s="81">
        <f t="shared" si="9"/>
        <v>693881767</v>
      </c>
      <c r="R66" s="81">
        <f t="shared" ref="R66:R67" si="133">AG66</f>
        <v>918123020</v>
      </c>
      <c r="S66" s="97">
        <v>-224241253</v>
      </c>
      <c r="T66" s="81">
        <f t="shared" si="76"/>
        <v>0</v>
      </c>
      <c r="U66" s="81">
        <f t="shared" si="77"/>
        <v>0</v>
      </c>
      <c r="V66" s="81">
        <f t="shared" si="38"/>
        <v>693881767</v>
      </c>
      <c r="W66" s="81">
        <f t="shared" ref="W66:W67" si="134">AH66</f>
        <v>625145867</v>
      </c>
      <c r="X66" s="97">
        <v>68735900</v>
      </c>
      <c r="Y66" s="81">
        <f t="shared" si="1"/>
        <v>0</v>
      </c>
      <c r="Z66" s="81">
        <f t="shared" ref="Z66:Z67" si="135">SUM(AA66:AB66)</f>
        <v>287195897</v>
      </c>
      <c r="AA66" s="81">
        <f t="shared" ref="AA66:AA67" si="136">AI66</f>
        <v>152069739</v>
      </c>
      <c r="AB66" s="97">
        <v>135126158</v>
      </c>
      <c r="AC66" s="81">
        <f t="shared" si="2"/>
        <v>0</v>
      </c>
      <c r="AD66" s="81">
        <f t="shared" si="78"/>
        <v>406685870</v>
      </c>
      <c r="AE66" s="29">
        <f t="shared" si="12"/>
        <v>12</v>
      </c>
      <c r="AG66" s="29">
        <v>918123020</v>
      </c>
      <c r="AH66" s="29">
        <v>625145867</v>
      </c>
      <c r="AI66" s="29">
        <v>152069739</v>
      </c>
      <c r="AK66" s="168">
        <f t="shared" si="13"/>
        <v>0</v>
      </c>
      <c r="AL66" s="168"/>
    </row>
    <row r="67" spans="1:38" x14ac:dyDescent="0.2">
      <c r="A67" s="66" t="s">
        <v>112</v>
      </c>
      <c r="B67" s="66" t="str">
        <f t="shared" si="3"/>
        <v>FUNCIONAMIENTO</v>
      </c>
      <c r="C67" s="67" t="s">
        <v>73</v>
      </c>
      <c r="D67" s="71" t="s">
        <v>172</v>
      </c>
      <c r="E67" s="68">
        <f>VLOOKUP($C67,DATOS!$A$1:$O$1101,3,FALSE)</f>
        <v>800000000</v>
      </c>
      <c r="F67" s="192">
        <f>VLOOKUP($C67,DATOS!$A$1:$O$1101,4,FALSE)</f>
        <v>0</v>
      </c>
      <c r="G67" s="68">
        <f>VLOOKUP($C67,DATOS!$A$1:$O$1101,5,FALSE)</f>
        <v>-336607578</v>
      </c>
      <c r="H67" s="130">
        <f t="shared" si="131"/>
        <v>463392422</v>
      </c>
      <c r="I67" s="68">
        <f>VLOOKUP($C67,DATOS!$A$1:$O$1101,7,FALSE)</f>
        <v>0</v>
      </c>
      <c r="J67" s="68">
        <f t="shared" si="132"/>
        <v>463392422</v>
      </c>
      <c r="K67" s="68">
        <f>VLOOKUP($C67,DATOS!$A$1:$O$1101,9,FALSE)</f>
        <v>-1000000</v>
      </c>
      <c r="L67" s="68">
        <f>VLOOKUP($C67,DATOS!$A$1:$O$1101,10,FALSE)</f>
        <v>424659409</v>
      </c>
      <c r="M67" s="69">
        <f t="shared" si="7"/>
        <v>0.91641422871606648</v>
      </c>
      <c r="N67" s="68">
        <f>VLOOKUP($C67,DATOS!$A$1:$O$1101,12,FALSE)</f>
        <v>10346500</v>
      </c>
      <c r="O67" s="68">
        <f>VLOOKUP($C67,DATOS!$A$1:$O$1101,13,FALSE)</f>
        <v>386781699</v>
      </c>
      <c r="P67" s="69">
        <f t="shared" si="8"/>
        <v>0.8346741997433873</v>
      </c>
      <c r="Q67" s="72">
        <f t="shared" si="9"/>
        <v>424659409</v>
      </c>
      <c r="R67" s="72">
        <f t="shared" si="133"/>
        <v>425659409</v>
      </c>
      <c r="S67" s="97">
        <v>-1000000</v>
      </c>
      <c r="T67" s="72">
        <f t="shared" si="76"/>
        <v>0</v>
      </c>
      <c r="U67" s="72">
        <f t="shared" si="77"/>
        <v>0</v>
      </c>
      <c r="V67" s="72">
        <f t="shared" si="38"/>
        <v>424659409</v>
      </c>
      <c r="W67" s="72">
        <f t="shared" si="134"/>
        <v>425659409</v>
      </c>
      <c r="X67" s="97">
        <v>-1000000</v>
      </c>
      <c r="Y67" s="72">
        <f t="shared" si="1"/>
        <v>0</v>
      </c>
      <c r="Z67" s="72">
        <f t="shared" si="135"/>
        <v>386781699</v>
      </c>
      <c r="AA67" s="72">
        <f t="shared" si="136"/>
        <v>376435199</v>
      </c>
      <c r="AB67" s="97">
        <v>10346500</v>
      </c>
      <c r="AC67" s="72">
        <f t="shared" si="2"/>
        <v>0</v>
      </c>
      <c r="AD67" s="72">
        <f t="shared" si="78"/>
        <v>37877710</v>
      </c>
      <c r="AE67" s="29">
        <f t="shared" si="12"/>
        <v>12</v>
      </c>
      <c r="AG67" s="29">
        <v>425659409</v>
      </c>
      <c r="AH67" s="29">
        <v>425659409</v>
      </c>
      <c r="AI67" s="29">
        <v>376435199</v>
      </c>
      <c r="AK67" s="168">
        <f t="shared" si="13"/>
        <v>1</v>
      </c>
      <c r="AL67" s="168"/>
    </row>
    <row r="68" spans="1:38" s="22" customFormat="1" hidden="1" x14ac:dyDescent="0.2">
      <c r="A68" s="165"/>
      <c r="B68" s="165" t="str">
        <f t="shared" si="3"/>
        <v>FUNCIONAMIENTO</v>
      </c>
      <c r="C68" s="59" t="s">
        <v>131</v>
      </c>
      <c r="D68" s="57" t="s">
        <v>173</v>
      </c>
      <c r="E68" s="60">
        <f>SUM(E69:E70)</f>
        <v>146303000</v>
      </c>
      <c r="F68" s="60">
        <f t="shared" ref="F68:AD68" si="137">SUM(F69:F70)</f>
        <v>0</v>
      </c>
      <c r="G68" s="60">
        <f t="shared" si="137"/>
        <v>39981329</v>
      </c>
      <c r="H68" s="60">
        <f t="shared" si="137"/>
        <v>186284329</v>
      </c>
      <c r="I68" s="60">
        <f t="shared" si="137"/>
        <v>0</v>
      </c>
      <c r="J68" s="60">
        <f t="shared" si="137"/>
        <v>186284329</v>
      </c>
      <c r="K68" s="60">
        <f t="shared" si="137"/>
        <v>-6804613</v>
      </c>
      <c r="L68" s="60">
        <f t="shared" si="137"/>
        <v>91567452</v>
      </c>
      <c r="M68" s="61">
        <f t="shared" si="7"/>
        <v>0.49154672586549136</v>
      </c>
      <c r="N68" s="60">
        <f t="shared" si="137"/>
        <v>0</v>
      </c>
      <c r="O68" s="60">
        <f t="shared" si="137"/>
        <v>62876606</v>
      </c>
      <c r="P68" s="61">
        <f t="shared" si="8"/>
        <v>0.33753030293815001</v>
      </c>
      <c r="Q68" s="84">
        <f t="shared" si="137"/>
        <v>91567452</v>
      </c>
      <c r="R68" s="84">
        <f t="shared" si="137"/>
        <v>165902479</v>
      </c>
      <c r="S68" s="179">
        <f t="shared" si="137"/>
        <v>-74335027</v>
      </c>
      <c r="T68" s="84">
        <f t="shared" si="137"/>
        <v>0</v>
      </c>
      <c r="U68" s="84">
        <f t="shared" si="137"/>
        <v>0</v>
      </c>
      <c r="V68" s="84">
        <f t="shared" si="137"/>
        <v>91567452</v>
      </c>
      <c r="W68" s="84">
        <f t="shared" si="137"/>
        <v>98372065</v>
      </c>
      <c r="X68" s="179">
        <f t="shared" si="137"/>
        <v>-6804613</v>
      </c>
      <c r="Y68" s="84">
        <f t="shared" si="137"/>
        <v>0</v>
      </c>
      <c r="Z68" s="84">
        <f t="shared" si="137"/>
        <v>62876606</v>
      </c>
      <c r="AA68" s="84">
        <f t="shared" si="137"/>
        <v>62876606</v>
      </c>
      <c r="AB68" s="179">
        <f t="shared" si="137"/>
        <v>0</v>
      </c>
      <c r="AC68" s="84">
        <f t="shared" si="137"/>
        <v>0</v>
      </c>
      <c r="AD68" s="84">
        <f t="shared" si="137"/>
        <v>28690846</v>
      </c>
      <c r="AE68" s="180">
        <f t="shared" si="12"/>
        <v>11</v>
      </c>
      <c r="AG68" s="180">
        <v>165902479</v>
      </c>
      <c r="AH68" s="180">
        <v>98372065</v>
      </c>
      <c r="AI68" s="180">
        <v>62876606</v>
      </c>
      <c r="AK68" s="168">
        <f t="shared" si="13"/>
        <v>0</v>
      </c>
      <c r="AL68" s="182"/>
    </row>
    <row r="69" spans="1:38" x14ac:dyDescent="0.2">
      <c r="A69" s="77" t="s">
        <v>111</v>
      </c>
      <c r="B69" s="77" t="str">
        <f t="shared" si="3"/>
        <v>FUNCIONAMIENTO</v>
      </c>
      <c r="C69" s="78" t="s">
        <v>285</v>
      </c>
      <c r="D69" s="83" t="s">
        <v>286</v>
      </c>
      <c r="E69" s="79">
        <f>VLOOKUP($C69,DATOS!$A$1:$O$1101,3,FALSE)</f>
        <v>116303000</v>
      </c>
      <c r="F69" s="191">
        <f>VLOOKUP($C69,DATOS!$A$1:$O$1101,4,FALSE)</f>
        <v>0</v>
      </c>
      <c r="G69" s="79">
        <f>VLOOKUP($C69,DATOS!$A$1:$O$1101,5,FALSE)</f>
        <v>49708000</v>
      </c>
      <c r="H69" s="79">
        <f t="shared" ref="H69:H70" si="138">E69+G69</f>
        <v>166011000</v>
      </c>
      <c r="I69" s="79">
        <f>VLOOKUP($C69,DATOS!$A$1:$O$1101,7,FALSE)</f>
        <v>0</v>
      </c>
      <c r="J69" s="79">
        <f t="shared" ref="J69:J70" si="139">H69-I69</f>
        <v>166011000</v>
      </c>
      <c r="K69" s="79">
        <f>VLOOKUP($C69,DATOS!$A$1:$O$1101,9,FALSE)</f>
        <v>0</v>
      </c>
      <c r="L69" s="79">
        <f>VLOOKUP($C69,DATOS!$A$1:$O$1101,10,FALSE)</f>
        <v>78098736</v>
      </c>
      <c r="M69" s="80">
        <f t="shared" si="7"/>
        <v>0.47044313931004572</v>
      </c>
      <c r="N69" s="79">
        <f>VLOOKUP($C69,DATOS!$A$1:$O$1101,12,FALSE)</f>
        <v>0</v>
      </c>
      <c r="O69" s="79">
        <f>VLOOKUP($C69,DATOS!$A$1:$O$1101,13,FALSE)</f>
        <v>49407890</v>
      </c>
      <c r="P69" s="80">
        <f t="shared" si="8"/>
        <v>0.29761816988030915</v>
      </c>
      <c r="Q69" s="85">
        <f t="shared" si="9"/>
        <v>78098736</v>
      </c>
      <c r="R69" s="85">
        <f t="shared" ref="R69:R70" si="140">AG69</f>
        <v>145629150</v>
      </c>
      <c r="S69" s="97">
        <v>-67530414</v>
      </c>
      <c r="T69" s="85">
        <f t="shared" ref="T69:T70" si="141">+Q69-L69</f>
        <v>0</v>
      </c>
      <c r="U69" s="85">
        <f t="shared" ref="U69:U70" si="142">+V69-L69</f>
        <v>0</v>
      </c>
      <c r="V69" s="85">
        <f t="shared" ref="V69:V70" si="143">SUM(W69:X69)</f>
        <v>78098736</v>
      </c>
      <c r="W69" s="85">
        <f t="shared" ref="W69:W70" si="144">AH69</f>
        <v>78098736</v>
      </c>
      <c r="X69" s="97">
        <v>0</v>
      </c>
      <c r="Y69" s="85">
        <f t="shared" ref="Y69:Y70" si="145">+L69-V69</f>
        <v>0</v>
      </c>
      <c r="Z69" s="85">
        <f t="shared" ref="Z69:Z70" si="146">SUM(AA69:AB69)</f>
        <v>49407890</v>
      </c>
      <c r="AA69" s="85">
        <f t="shared" ref="AA69:AA70" si="147">AI69</f>
        <v>49407890</v>
      </c>
      <c r="AB69" s="97">
        <v>0</v>
      </c>
      <c r="AC69" s="85">
        <f t="shared" ref="AC69:AC70" si="148">+O69-Z69</f>
        <v>0</v>
      </c>
      <c r="AD69" s="85">
        <f t="shared" ref="AD69:AD70" si="149">+L69-O69</f>
        <v>28690846</v>
      </c>
      <c r="AE69" s="29"/>
      <c r="AG69" s="29">
        <v>145629150</v>
      </c>
      <c r="AH69" s="29">
        <v>78098736</v>
      </c>
      <c r="AI69" s="29">
        <v>49407890</v>
      </c>
      <c r="AK69" s="168">
        <f t="shared" si="13"/>
        <v>0</v>
      </c>
      <c r="AL69" s="168"/>
    </row>
    <row r="70" spans="1:38" x14ac:dyDescent="0.2">
      <c r="A70" s="66" t="s">
        <v>112</v>
      </c>
      <c r="B70" s="66" t="str">
        <f t="shared" si="3"/>
        <v>FUNCIONAMIENTO</v>
      </c>
      <c r="C70" s="67" t="s">
        <v>238</v>
      </c>
      <c r="D70" s="71" t="s">
        <v>244</v>
      </c>
      <c r="E70" s="68">
        <f>VLOOKUP($C70,DATOS!$A$1:$O$1101,3,FALSE)</f>
        <v>30000000</v>
      </c>
      <c r="F70" s="192">
        <f>VLOOKUP($C70,DATOS!$A$1:$O$1101,4,FALSE)</f>
        <v>0</v>
      </c>
      <c r="G70" s="68">
        <f>VLOOKUP($C70,DATOS!$A$1:$O$1101,5,FALSE)</f>
        <v>-9726671</v>
      </c>
      <c r="H70" s="130">
        <f t="shared" si="138"/>
        <v>20273329</v>
      </c>
      <c r="I70" s="68">
        <f>VLOOKUP($C70,DATOS!$A$1:$O$1101,7,FALSE)</f>
        <v>0</v>
      </c>
      <c r="J70" s="68">
        <f t="shared" si="139"/>
        <v>20273329</v>
      </c>
      <c r="K70" s="68">
        <f>VLOOKUP($C70,DATOS!$A$1:$O$1101,9,FALSE)</f>
        <v>-6804613</v>
      </c>
      <c r="L70" s="68">
        <f>VLOOKUP($C70,DATOS!$A$1:$O$1101,10,FALSE)</f>
        <v>13468716</v>
      </c>
      <c r="M70" s="69">
        <f t="shared" si="7"/>
        <v>0.6643564063898928</v>
      </c>
      <c r="N70" s="68">
        <f>VLOOKUP($C70,DATOS!$A$1:$O$1101,12,FALSE)</f>
        <v>0</v>
      </c>
      <c r="O70" s="68">
        <f>VLOOKUP($C70,DATOS!$A$1:$O$1101,13,FALSE)</f>
        <v>13468716</v>
      </c>
      <c r="P70" s="69">
        <f t="shared" si="8"/>
        <v>0.6643564063898928</v>
      </c>
      <c r="Q70" s="72">
        <f t="shared" si="9"/>
        <v>13468716</v>
      </c>
      <c r="R70" s="72">
        <f t="shared" si="140"/>
        <v>20273329</v>
      </c>
      <c r="S70" s="97">
        <v>-6804613</v>
      </c>
      <c r="T70" s="72">
        <f t="shared" si="141"/>
        <v>0</v>
      </c>
      <c r="U70" s="72">
        <f t="shared" si="142"/>
        <v>0</v>
      </c>
      <c r="V70" s="72">
        <f t="shared" si="143"/>
        <v>13468716</v>
      </c>
      <c r="W70" s="72">
        <f t="shared" si="144"/>
        <v>20273329</v>
      </c>
      <c r="X70" s="97">
        <v>-6804613</v>
      </c>
      <c r="Y70" s="72">
        <f t="shared" si="145"/>
        <v>0</v>
      </c>
      <c r="Z70" s="72">
        <f t="shared" si="146"/>
        <v>13468716</v>
      </c>
      <c r="AA70" s="72">
        <f t="shared" si="147"/>
        <v>13468716</v>
      </c>
      <c r="AB70" s="97">
        <v>0</v>
      </c>
      <c r="AC70" s="72">
        <f t="shared" si="148"/>
        <v>0</v>
      </c>
      <c r="AD70" s="72">
        <f t="shared" si="149"/>
        <v>0</v>
      </c>
      <c r="AE70" s="29">
        <f t="shared" si="12"/>
        <v>12</v>
      </c>
      <c r="AG70" s="29">
        <v>20273329</v>
      </c>
      <c r="AH70" s="29">
        <v>20273329</v>
      </c>
      <c r="AI70" s="29">
        <v>13468716</v>
      </c>
      <c r="AK70" s="168">
        <f t="shared" si="13"/>
        <v>0</v>
      </c>
      <c r="AL70" s="168"/>
    </row>
    <row r="71" spans="1:38" hidden="1" x14ac:dyDescent="0.2">
      <c r="A71" s="75"/>
      <c r="B71" s="75" t="str">
        <f t="shared" si="3"/>
        <v>FUNCIONAMIENTO</v>
      </c>
      <c r="C71" s="59" t="s">
        <v>74</v>
      </c>
      <c r="D71" s="57" t="s">
        <v>75</v>
      </c>
      <c r="E71" s="60">
        <f t="shared" ref="E71:AB71" si="150">+E72</f>
        <v>1800000000</v>
      </c>
      <c r="F71" s="60">
        <f t="shared" si="150"/>
        <v>0</v>
      </c>
      <c r="G71" s="60">
        <f t="shared" si="150"/>
        <v>-471206471</v>
      </c>
      <c r="H71" s="60">
        <f t="shared" si="5"/>
        <v>1328793529</v>
      </c>
      <c r="I71" s="60">
        <f t="shared" si="150"/>
        <v>0</v>
      </c>
      <c r="J71" s="60">
        <f t="shared" si="6"/>
        <v>1328793529</v>
      </c>
      <c r="K71" s="60">
        <f t="shared" si="150"/>
        <v>4527273</v>
      </c>
      <c r="L71" s="60">
        <f t="shared" si="150"/>
        <v>4527273</v>
      </c>
      <c r="M71" s="61">
        <f t="shared" si="7"/>
        <v>3.4070552732199527E-3</v>
      </c>
      <c r="N71" s="60">
        <f t="shared" si="150"/>
        <v>4527273</v>
      </c>
      <c r="O71" s="60">
        <f t="shared" si="150"/>
        <v>4527273</v>
      </c>
      <c r="P71" s="61">
        <f t="shared" si="8"/>
        <v>3.4070552732199527E-3</v>
      </c>
      <c r="Q71" s="84">
        <f t="shared" si="9"/>
        <v>4527273</v>
      </c>
      <c r="R71" s="84">
        <f t="shared" si="150"/>
        <v>4492774</v>
      </c>
      <c r="S71" s="84">
        <f t="shared" si="150"/>
        <v>34499</v>
      </c>
      <c r="T71" s="84">
        <f t="shared" si="76"/>
        <v>0</v>
      </c>
      <c r="U71" s="84">
        <f t="shared" si="77"/>
        <v>0</v>
      </c>
      <c r="V71" s="84">
        <f t="shared" si="38"/>
        <v>4527273</v>
      </c>
      <c r="W71" s="84">
        <f t="shared" si="150"/>
        <v>0</v>
      </c>
      <c r="X71" s="74">
        <f t="shared" si="150"/>
        <v>4527273</v>
      </c>
      <c r="Y71" s="84">
        <f t="shared" si="1"/>
        <v>0</v>
      </c>
      <c r="Z71" s="84">
        <f t="shared" si="11"/>
        <v>4527273</v>
      </c>
      <c r="AA71" s="84">
        <f t="shared" si="150"/>
        <v>0</v>
      </c>
      <c r="AB71" s="84">
        <f t="shared" si="150"/>
        <v>4527273</v>
      </c>
      <c r="AC71" s="84">
        <f t="shared" si="2"/>
        <v>0</v>
      </c>
      <c r="AD71" s="84">
        <f t="shared" si="78"/>
        <v>0</v>
      </c>
      <c r="AE71" s="29">
        <f t="shared" si="12"/>
        <v>4</v>
      </c>
      <c r="AG71" s="29">
        <v>4492774</v>
      </c>
      <c r="AH71" s="29">
        <v>0</v>
      </c>
      <c r="AI71" s="29">
        <v>0</v>
      </c>
      <c r="AK71" s="168">
        <f t="shared" si="13"/>
        <v>1</v>
      </c>
      <c r="AL71" s="168"/>
    </row>
    <row r="72" spans="1:38" hidden="1" x14ac:dyDescent="0.2">
      <c r="A72" s="75"/>
      <c r="B72" s="75" t="str">
        <f t="shared" si="3"/>
        <v>FUNCIONAMIENTO</v>
      </c>
      <c r="C72" s="59" t="s">
        <v>76</v>
      </c>
      <c r="D72" s="57" t="s">
        <v>77</v>
      </c>
      <c r="E72" s="60">
        <f>E73</f>
        <v>1800000000</v>
      </c>
      <c r="F72" s="60">
        <f t="shared" ref="F72:O73" si="151">F73</f>
        <v>0</v>
      </c>
      <c r="G72" s="60">
        <f t="shared" si="151"/>
        <v>-471206471</v>
      </c>
      <c r="H72" s="60">
        <f t="shared" si="5"/>
        <v>1328793529</v>
      </c>
      <c r="I72" s="60">
        <f t="shared" si="151"/>
        <v>0</v>
      </c>
      <c r="J72" s="60">
        <f t="shared" si="6"/>
        <v>1328793529</v>
      </c>
      <c r="K72" s="60">
        <f t="shared" si="151"/>
        <v>4527273</v>
      </c>
      <c r="L72" s="60">
        <f t="shared" si="151"/>
        <v>4527273</v>
      </c>
      <c r="M72" s="61">
        <f t="shared" si="7"/>
        <v>3.4070552732199527E-3</v>
      </c>
      <c r="N72" s="60">
        <f t="shared" si="151"/>
        <v>4527273</v>
      </c>
      <c r="O72" s="60">
        <f t="shared" si="151"/>
        <v>4527273</v>
      </c>
      <c r="P72" s="61">
        <f t="shared" si="8"/>
        <v>3.4070552732199527E-3</v>
      </c>
      <c r="Q72" s="84">
        <f t="shared" si="9"/>
        <v>4527273</v>
      </c>
      <c r="R72" s="84">
        <f>R73</f>
        <v>4492774</v>
      </c>
      <c r="S72" s="84">
        <f>S73</f>
        <v>34499</v>
      </c>
      <c r="T72" s="84">
        <f t="shared" si="76"/>
        <v>0</v>
      </c>
      <c r="U72" s="84">
        <f t="shared" si="77"/>
        <v>0</v>
      </c>
      <c r="V72" s="84">
        <f t="shared" si="38"/>
        <v>4527273</v>
      </c>
      <c r="W72" s="84">
        <f>W73</f>
        <v>0</v>
      </c>
      <c r="X72" s="74">
        <f>X73</f>
        <v>4527273</v>
      </c>
      <c r="Y72" s="84">
        <f t="shared" si="1"/>
        <v>0</v>
      </c>
      <c r="Z72" s="84">
        <f t="shared" si="11"/>
        <v>4527273</v>
      </c>
      <c r="AA72" s="84">
        <f>AA73</f>
        <v>0</v>
      </c>
      <c r="AB72" s="84">
        <f>AB73</f>
        <v>4527273</v>
      </c>
      <c r="AC72" s="84">
        <f t="shared" si="2"/>
        <v>0</v>
      </c>
      <c r="AD72" s="84">
        <f t="shared" si="78"/>
        <v>0</v>
      </c>
      <c r="AE72" s="29">
        <f t="shared" si="12"/>
        <v>6</v>
      </c>
      <c r="AG72" s="29">
        <v>4492774</v>
      </c>
      <c r="AH72" s="29">
        <v>0</v>
      </c>
      <c r="AI72" s="29">
        <v>0</v>
      </c>
      <c r="AK72" s="168">
        <f t="shared" si="13"/>
        <v>1</v>
      </c>
      <c r="AL72" s="168"/>
    </row>
    <row r="73" spans="1:38" hidden="1" x14ac:dyDescent="0.2">
      <c r="A73" s="75"/>
      <c r="B73" s="75" t="str">
        <f t="shared" si="3"/>
        <v>FUNCIONAMIENTO</v>
      </c>
      <c r="C73" s="59" t="s">
        <v>78</v>
      </c>
      <c r="D73" s="58" t="s">
        <v>79</v>
      </c>
      <c r="E73" s="60">
        <f>E74</f>
        <v>1800000000</v>
      </c>
      <c r="F73" s="60">
        <f t="shared" si="151"/>
        <v>0</v>
      </c>
      <c r="G73" s="60">
        <f t="shared" si="151"/>
        <v>-471206471</v>
      </c>
      <c r="H73" s="60">
        <f t="shared" si="5"/>
        <v>1328793529</v>
      </c>
      <c r="I73" s="60">
        <f t="shared" si="151"/>
        <v>0</v>
      </c>
      <c r="J73" s="60">
        <f t="shared" si="6"/>
        <v>1328793529</v>
      </c>
      <c r="K73" s="60">
        <f t="shared" si="151"/>
        <v>4527273</v>
      </c>
      <c r="L73" s="60">
        <f t="shared" si="151"/>
        <v>4527273</v>
      </c>
      <c r="M73" s="61">
        <f t="shared" si="7"/>
        <v>3.4070552732199527E-3</v>
      </c>
      <c r="N73" s="60">
        <f t="shared" si="151"/>
        <v>4527273</v>
      </c>
      <c r="O73" s="60">
        <f t="shared" si="151"/>
        <v>4527273</v>
      </c>
      <c r="P73" s="61">
        <f t="shared" si="8"/>
        <v>3.4070552732199527E-3</v>
      </c>
      <c r="Q73" s="76">
        <f t="shared" si="9"/>
        <v>4527273</v>
      </c>
      <c r="R73" s="76">
        <f>R74</f>
        <v>4492774</v>
      </c>
      <c r="S73" s="84">
        <f>S74</f>
        <v>34499</v>
      </c>
      <c r="T73" s="76">
        <f t="shared" si="76"/>
        <v>0</v>
      </c>
      <c r="U73" s="76">
        <f t="shared" si="77"/>
        <v>0</v>
      </c>
      <c r="V73" s="76">
        <f t="shared" si="38"/>
        <v>4527273</v>
      </c>
      <c r="W73" s="76">
        <f>W74</f>
        <v>0</v>
      </c>
      <c r="X73" s="74">
        <f>X74</f>
        <v>4527273</v>
      </c>
      <c r="Y73" s="76">
        <f t="shared" si="1"/>
        <v>0</v>
      </c>
      <c r="Z73" s="76">
        <f t="shared" si="11"/>
        <v>4527273</v>
      </c>
      <c r="AA73" s="76">
        <f>AA74</f>
        <v>0</v>
      </c>
      <c r="AB73" s="76">
        <f>AB74</f>
        <v>4527273</v>
      </c>
      <c r="AC73" s="76">
        <f t="shared" si="2"/>
        <v>0</v>
      </c>
      <c r="AD73" s="76">
        <f t="shared" si="78"/>
        <v>0</v>
      </c>
      <c r="AE73" s="29">
        <f t="shared" si="12"/>
        <v>8</v>
      </c>
      <c r="AG73" s="29">
        <v>4492774</v>
      </c>
      <c r="AH73" s="29">
        <v>0</v>
      </c>
      <c r="AI73" s="29">
        <v>0</v>
      </c>
      <c r="AK73" s="168">
        <f t="shared" si="13"/>
        <v>1</v>
      </c>
      <c r="AL73" s="168"/>
    </row>
    <row r="74" spans="1:38" x14ac:dyDescent="0.2">
      <c r="A74" s="77" t="s">
        <v>111</v>
      </c>
      <c r="B74" s="77" t="str">
        <f t="shared" si="3"/>
        <v>FUNCIONAMIENTO</v>
      </c>
      <c r="C74" s="78" t="s">
        <v>80</v>
      </c>
      <c r="D74" s="83" t="s">
        <v>174</v>
      </c>
      <c r="E74" s="79">
        <f>VLOOKUP($C74,DATOS!$A$1:$O$1101,3,FALSE)</f>
        <v>1800000000</v>
      </c>
      <c r="F74" s="191">
        <f>VLOOKUP($C74,DATOS!$A$1:$O$1101,4,FALSE)</f>
        <v>0</v>
      </c>
      <c r="G74" s="79">
        <f>VLOOKUP($C74,DATOS!$A$1:$O$1101,5,FALSE)</f>
        <v>-471206471</v>
      </c>
      <c r="H74" s="129">
        <f t="shared" ref="H74" si="152">E74+G74</f>
        <v>1328793529</v>
      </c>
      <c r="I74" s="79">
        <f>VLOOKUP($C74,DATOS!$A$1:$O$1101,7,FALSE)</f>
        <v>0</v>
      </c>
      <c r="J74" s="79">
        <f t="shared" ref="J74" si="153">H74-I74</f>
        <v>1328793529</v>
      </c>
      <c r="K74" s="79">
        <f>VLOOKUP($C74,DATOS!$A$1:$O$1101,9,FALSE)</f>
        <v>4527273</v>
      </c>
      <c r="L74" s="79">
        <f>VLOOKUP($C74,DATOS!$A$1:$O$1101,10,FALSE)</f>
        <v>4527273</v>
      </c>
      <c r="M74" s="80">
        <f t="shared" si="7"/>
        <v>3.4070552732199527E-3</v>
      </c>
      <c r="N74" s="79">
        <f>VLOOKUP($C74,DATOS!$A$1:$O$1101,12,FALSE)</f>
        <v>4527273</v>
      </c>
      <c r="O74" s="79">
        <f>VLOOKUP($C74,DATOS!$A$1:$O$1101,13,FALSE)</f>
        <v>4527273</v>
      </c>
      <c r="P74" s="80">
        <f t="shared" si="8"/>
        <v>3.4070552732199527E-3</v>
      </c>
      <c r="Q74" s="85">
        <f t="shared" si="9"/>
        <v>4527273</v>
      </c>
      <c r="R74" s="85">
        <f>AG74</f>
        <v>4492774</v>
      </c>
      <c r="S74" s="97">
        <v>34499</v>
      </c>
      <c r="T74" s="85">
        <f>+Q74-L74</f>
        <v>0</v>
      </c>
      <c r="U74" s="85">
        <f t="shared" si="77"/>
        <v>0</v>
      </c>
      <c r="V74" s="85">
        <f>SUM(W74:X74)</f>
        <v>4527273</v>
      </c>
      <c r="W74" s="85">
        <f>AH74</f>
        <v>0</v>
      </c>
      <c r="X74" s="97">
        <v>4527273</v>
      </c>
      <c r="Y74" s="85">
        <f>+L74-V74</f>
        <v>0</v>
      </c>
      <c r="Z74" s="85">
        <f t="shared" ref="Z74" si="154">SUM(AA74:AB74)</f>
        <v>4527273</v>
      </c>
      <c r="AA74" s="85">
        <f>AI74</f>
        <v>0</v>
      </c>
      <c r="AB74" s="97">
        <v>4527273</v>
      </c>
      <c r="AC74" s="85">
        <f>+O74-Z74</f>
        <v>0</v>
      </c>
      <c r="AD74" s="85">
        <f t="shared" si="78"/>
        <v>0</v>
      </c>
      <c r="AE74" s="29">
        <f t="shared" si="12"/>
        <v>11</v>
      </c>
      <c r="AG74" s="29">
        <v>4492774</v>
      </c>
      <c r="AH74" s="29">
        <v>0</v>
      </c>
      <c r="AI74" s="29">
        <v>0</v>
      </c>
      <c r="AK74" s="168">
        <f t="shared" si="13"/>
        <v>1</v>
      </c>
      <c r="AL74" s="168"/>
    </row>
    <row r="75" spans="1:38" ht="36" hidden="1" x14ac:dyDescent="0.2">
      <c r="A75" s="75"/>
      <c r="B75" s="75" t="str">
        <f t="shared" ref="B75:B121" si="155">IF(C75&gt;2,IF(MID(C75,1,3)="421","FUNCIONAMIENTO",IF(MID(C75,1,3)="423","INVERSION","COMERCIAL")))</f>
        <v>FUNCIONAMIENTO</v>
      </c>
      <c r="C75" s="59" t="s">
        <v>81</v>
      </c>
      <c r="D75" s="58" t="s">
        <v>175</v>
      </c>
      <c r="E75" s="60">
        <f>E76</f>
        <v>7013635000</v>
      </c>
      <c r="F75" s="60">
        <f t="shared" ref="F75:O75" si="156">F76</f>
        <v>0</v>
      </c>
      <c r="G75" s="60">
        <f t="shared" si="156"/>
        <v>5625041507</v>
      </c>
      <c r="H75" s="60">
        <f t="shared" si="5"/>
        <v>12638676507</v>
      </c>
      <c r="I75" s="60">
        <f t="shared" si="156"/>
        <v>0</v>
      </c>
      <c r="J75" s="60">
        <f t="shared" si="6"/>
        <v>12638676507</v>
      </c>
      <c r="K75" s="60">
        <f t="shared" si="156"/>
        <v>153681000</v>
      </c>
      <c r="L75" s="60">
        <f t="shared" si="156"/>
        <v>6165855000</v>
      </c>
      <c r="M75" s="61">
        <f t="shared" ref="M75:M122" si="157">IFERROR(L75/J75,0)</f>
        <v>0.4878560659880018</v>
      </c>
      <c r="N75" s="60">
        <f t="shared" si="156"/>
        <v>153681000</v>
      </c>
      <c r="O75" s="60">
        <f t="shared" si="156"/>
        <v>6165855000</v>
      </c>
      <c r="P75" s="61">
        <f t="shared" ref="P75:P122" si="158">IFERROR(O75/J75,0)</f>
        <v>0.4878560659880018</v>
      </c>
      <c r="Q75" s="84">
        <f t="shared" si="9"/>
        <v>6165855000</v>
      </c>
      <c r="R75" s="84">
        <f>R76</f>
        <v>12638676507</v>
      </c>
      <c r="S75" s="84">
        <f>S76</f>
        <v>-6472821507</v>
      </c>
      <c r="T75" s="84">
        <f t="shared" si="76"/>
        <v>0</v>
      </c>
      <c r="U75" s="84">
        <f t="shared" si="77"/>
        <v>0</v>
      </c>
      <c r="V75" s="84">
        <f t="shared" si="38"/>
        <v>6165855000</v>
      </c>
      <c r="W75" s="84">
        <f>W76</f>
        <v>6012174000</v>
      </c>
      <c r="X75" s="74">
        <f>X76</f>
        <v>153681000</v>
      </c>
      <c r="Y75" s="84">
        <f t="shared" si="1"/>
        <v>0</v>
      </c>
      <c r="Z75" s="84">
        <f t="shared" si="11"/>
        <v>6165855000</v>
      </c>
      <c r="AA75" s="84">
        <f>AA76</f>
        <v>6012174000</v>
      </c>
      <c r="AB75" s="84">
        <f>AB76</f>
        <v>153681000</v>
      </c>
      <c r="AC75" s="84">
        <f t="shared" si="2"/>
        <v>0</v>
      </c>
      <c r="AD75" s="84">
        <f t="shared" si="78"/>
        <v>0</v>
      </c>
      <c r="AE75" s="29">
        <f t="shared" si="12"/>
        <v>4</v>
      </c>
      <c r="AG75" s="29">
        <v>12638676507</v>
      </c>
      <c r="AH75" s="29">
        <v>6012174000</v>
      </c>
      <c r="AI75" s="29">
        <v>6012174000</v>
      </c>
      <c r="AK75" s="168">
        <f t="shared" ref="AK75:AK121" si="159">IF(SUM(S75,X75,AB75)&gt;0,1,0)</f>
        <v>0</v>
      </c>
      <c r="AL75" s="168"/>
    </row>
    <row r="76" spans="1:38" hidden="1" x14ac:dyDescent="0.2">
      <c r="A76" s="75"/>
      <c r="B76" s="75" t="str">
        <f t="shared" si="155"/>
        <v>FUNCIONAMIENTO</v>
      </c>
      <c r="C76" s="59" t="s">
        <v>82</v>
      </c>
      <c r="D76" s="58" t="s">
        <v>83</v>
      </c>
      <c r="E76" s="60">
        <f>SUM(E77:E79)</f>
        <v>7013635000</v>
      </c>
      <c r="F76" s="60">
        <f>SUM(F77:F79)</f>
        <v>0</v>
      </c>
      <c r="G76" s="60">
        <f>SUM(G77:G79)</f>
        <v>5625041507</v>
      </c>
      <c r="H76" s="60">
        <f t="shared" si="5"/>
        <v>12638676507</v>
      </c>
      <c r="I76" s="60">
        <f>SUM(I77:I79)</f>
        <v>0</v>
      </c>
      <c r="J76" s="60">
        <f t="shared" si="6"/>
        <v>12638676507</v>
      </c>
      <c r="K76" s="60">
        <f>SUM(K77:K79)</f>
        <v>153681000</v>
      </c>
      <c r="L76" s="60">
        <f>SUM(L77:L79)</f>
        <v>6165855000</v>
      </c>
      <c r="M76" s="61">
        <f t="shared" si="157"/>
        <v>0.4878560659880018</v>
      </c>
      <c r="N76" s="60">
        <f>SUM(N77:N79)</f>
        <v>153681000</v>
      </c>
      <c r="O76" s="60">
        <f>SUM(O77:O79)</f>
        <v>6165855000</v>
      </c>
      <c r="P76" s="61">
        <f t="shared" si="158"/>
        <v>0.4878560659880018</v>
      </c>
      <c r="Q76" s="76">
        <f t="shared" si="9"/>
        <v>6165855000</v>
      </c>
      <c r="R76" s="76">
        <f>SUM(R77:R79)</f>
        <v>12638676507</v>
      </c>
      <c r="S76" s="84">
        <f>SUM(S77:S79)</f>
        <v>-6472821507</v>
      </c>
      <c r="T76" s="76">
        <f t="shared" si="76"/>
        <v>0</v>
      </c>
      <c r="U76" s="76">
        <f t="shared" si="77"/>
        <v>0</v>
      </c>
      <c r="V76" s="76">
        <f t="shared" si="38"/>
        <v>6165855000</v>
      </c>
      <c r="W76" s="76">
        <f>SUM(W77:W79)</f>
        <v>6012174000</v>
      </c>
      <c r="X76" s="74">
        <f>SUM(X77:X79)</f>
        <v>153681000</v>
      </c>
      <c r="Y76" s="76">
        <f t="shared" si="1"/>
        <v>0</v>
      </c>
      <c r="Z76" s="76">
        <f t="shared" si="11"/>
        <v>6165855000</v>
      </c>
      <c r="AA76" s="76">
        <f>SUM(AA77:AA79)</f>
        <v>6012174000</v>
      </c>
      <c r="AB76" s="76">
        <f>SUM(AB77:AB79)</f>
        <v>153681000</v>
      </c>
      <c r="AC76" s="76">
        <f t="shared" si="2"/>
        <v>0</v>
      </c>
      <c r="AD76" s="76">
        <f t="shared" si="78"/>
        <v>0</v>
      </c>
      <c r="AE76" s="29">
        <f t="shared" si="12"/>
        <v>6</v>
      </c>
      <c r="AG76" s="29">
        <v>12638676507</v>
      </c>
      <c r="AH76" s="29">
        <v>6012174000</v>
      </c>
      <c r="AI76" s="29">
        <v>6012174000</v>
      </c>
      <c r="AK76" s="168">
        <f t="shared" si="159"/>
        <v>0</v>
      </c>
      <c r="AL76" s="168"/>
    </row>
    <row r="77" spans="1:38" x14ac:dyDescent="0.2">
      <c r="A77" s="77" t="s">
        <v>111</v>
      </c>
      <c r="B77" s="77" t="str">
        <f t="shared" si="155"/>
        <v>FUNCIONAMIENTO</v>
      </c>
      <c r="C77" s="78" t="s">
        <v>84</v>
      </c>
      <c r="D77" s="83" t="s">
        <v>176</v>
      </c>
      <c r="E77" s="79">
        <f>VLOOKUP($C77,DATOS!$A$1:$O$1101,3,FALSE)</f>
        <v>3537077000</v>
      </c>
      <c r="F77" s="191">
        <f>VLOOKUP($C77,DATOS!$A$1:$O$1101,4,FALSE)</f>
        <v>0</v>
      </c>
      <c r="G77" s="79">
        <f>VLOOKUP($C77,DATOS!$A$1:$O$1101,5,FALSE)</f>
        <v>5533782507</v>
      </c>
      <c r="H77" s="79">
        <f t="shared" ref="H77:H79" si="160">E77+G77</f>
        <v>9070859507</v>
      </c>
      <c r="I77" s="79">
        <f>VLOOKUP($C77,DATOS!$A$1:$O$1101,7,FALSE)</f>
        <v>0</v>
      </c>
      <c r="J77" s="79">
        <f t="shared" ref="J77:J79" si="161">H77-I77</f>
        <v>9070859507</v>
      </c>
      <c r="K77" s="79">
        <f>VLOOKUP($C77,DATOS!$A$1:$O$1101,9,FALSE)</f>
        <v>55013000</v>
      </c>
      <c r="L77" s="79">
        <f>VLOOKUP($C77,DATOS!$A$1:$O$1101,10,FALSE)</f>
        <v>5090132000</v>
      </c>
      <c r="M77" s="80">
        <f t="shared" si="157"/>
        <v>0.56115211530637588</v>
      </c>
      <c r="N77" s="79">
        <f>VLOOKUP($C77,DATOS!$A$1:$O$1101,12,FALSE)</f>
        <v>55013000</v>
      </c>
      <c r="O77" s="79">
        <f>VLOOKUP($C77,DATOS!$A$1:$O$1101,13,FALSE)</f>
        <v>5090132000</v>
      </c>
      <c r="P77" s="80">
        <f t="shared" si="158"/>
        <v>0.56115211530637588</v>
      </c>
      <c r="Q77" s="81">
        <f t="shared" si="9"/>
        <v>5090132000</v>
      </c>
      <c r="R77" s="81">
        <f t="shared" ref="R77:R79" si="162">AG77</f>
        <v>9070859507</v>
      </c>
      <c r="S77" s="97">
        <v>-3980727507</v>
      </c>
      <c r="T77" s="81">
        <f t="shared" si="76"/>
        <v>0</v>
      </c>
      <c r="U77" s="81">
        <f t="shared" si="77"/>
        <v>0</v>
      </c>
      <c r="V77" s="81">
        <f t="shared" si="38"/>
        <v>5090132000</v>
      </c>
      <c r="W77" s="81">
        <f t="shared" ref="W77:W79" si="163">AH77</f>
        <v>5035119000</v>
      </c>
      <c r="X77" s="97">
        <v>55013000</v>
      </c>
      <c r="Y77" s="81">
        <f t="shared" ref="Y77:Y79" si="164">+L77-V77</f>
        <v>0</v>
      </c>
      <c r="Z77" s="81">
        <f t="shared" ref="Z77:Z79" si="165">SUM(AA77:AB77)</f>
        <v>5090132000</v>
      </c>
      <c r="AA77" s="81">
        <f t="shared" ref="AA77:AA79" si="166">AI77</f>
        <v>5035119000</v>
      </c>
      <c r="AB77" s="97">
        <v>55013000</v>
      </c>
      <c r="AC77" s="81">
        <f t="shared" ref="AC77:AC79" si="167">+O77-Z77</f>
        <v>0</v>
      </c>
      <c r="AD77" s="81">
        <f t="shared" si="78"/>
        <v>0</v>
      </c>
      <c r="AE77" s="29">
        <f t="shared" ref="AE77:AE102" si="168">LEN(C77)</f>
        <v>8</v>
      </c>
      <c r="AG77" s="29">
        <v>9070859507</v>
      </c>
      <c r="AH77" s="29">
        <v>5035119000</v>
      </c>
      <c r="AI77" s="29">
        <v>5035119000</v>
      </c>
      <c r="AK77" s="168">
        <f t="shared" si="159"/>
        <v>0</v>
      </c>
      <c r="AL77" s="168"/>
    </row>
    <row r="78" spans="1:38" x14ac:dyDescent="0.2">
      <c r="A78" s="77" t="s">
        <v>111</v>
      </c>
      <c r="B78" s="77" t="str">
        <f t="shared" si="155"/>
        <v>FUNCIONAMIENTO</v>
      </c>
      <c r="C78" s="78" t="s">
        <v>85</v>
      </c>
      <c r="D78" s="83" t="s">
        <v>177</v>
      </c>
      <c r="E78" s="79">
        <f>VLOOKUP($C78,DATOS!$A$1:$O$1101,3,FALSE)</f>
        <v>5000000</v>
      </c>
      <c r="F78" s="191">
        <f>VLOOKUP($C78,DATOS!$A$1:$O$1101,4,FALSE)</f>
        <v>0</v>
      </c>
      <c r="G78" s="79">
        <f>VLOOKUP($C78,DATOS!$A$1:$O$1101,5,FALSE)</f>
        <v>0</v>
      </c>
      <c r="H78" s="79">
        <f t="shared" si="160"/>
        <v>5000000</v>
      </c>
      <c r="I78" s="79">
        <f>VLOOKUP($C78,DATOS!$A$1:$O$1101,7,FALSE)</f>
        <v>0</v>
      </c>
      <c r="J78" s="79">
        <f t="shared" si="161"/>
        <v>5000000</v>
      </c>
      <c r="K78" s="79">
        <f>VLOOKUP($C78,DATOS!$A$1:$O$1101,9,FALSE)</f>
        <v>0</v>
      </c>
      <c r="L78" s="79">
        <f>VLOOKUP($C78,DATOS!$A$1:$O$1101,10,FALSE)</f>
        <v>380000</v>
      </c>
      <c r="M78" s="80">
        <f t="shared" si="157"/>
        <v>7.5999999999999998E-2</v>
      </c>
      <c r="N78" s="79">
        <f>VLOOKUP($C78,DATOS!$A$1:$O$1101,12,FALSE)</f>
        <v>0</v>
      </c>
      <c r="O78" s="79">
        <f>VLOOKUP($C78,DATOS!$A$1:$O$1101,13,FALSE)</f>
        <v>380000</v>
      </c>
      <c r="P78" s="80">
        <f t="shared" si="158"/>
        <v>7.5999999999999998E-2</v>
      </c>
      <c r="Q78" s="81">
        <f t="shared" ref="Q78:Q79" si="169">SUM(R78:S78)</f>
        <v>380000</v>
      </c>
      <c r="R78" s="81">
        <f t="shared" si="162"/>
        <v>5000000</v>
      </c>
      <c r="S78" s="97">
        <v>-4620000</v>
      </c>
      <c r="T78" s="81">
        <f t="shared" si="76"/>
        <v>0</v>
      </c>
      <c r="U78" s="81">
        <f t="shared" si="77"/>
        <v>0</v>
      </c>
      <c r="V78" s="81">
        <f t="shared" si="38"/>
        <v>380000</v>
      </c>
      <c r="W78" s="81">
        <f t="shared" si="163"/>
        <v>380000</v>
      </c>
      <c r="X78" s="97">
        <v>0</v>
      </c>
      <c r="Y78" s="81">
        <f t="shared" si="164"/>
        <v>0</v>
      </c>
      <c r="Z78" s="81">
        <f t="shared" si="165"/>
        <v>380000</v>
      </c>
      <c r="AA78" s="81">
        <f t="shared" si="166"/>
        <v>380000</v>
      </c>
      <c r="AB78" s="97">
        <v>0</v>
      </c>
      <c r="AC78" s="81">
        <f t="shared" si="167"/>
        <v>0</v>
      </c>
      <c r="AD78" s="81">
        <f t="shared" si="78"/>
        <v>0</v>
      </c>
      <c r="AE78" s="29">
        <f t="shared" si="168"/>
        <v>8</v>
      </c>
      <c r="AG78" s="29">
        <v>5000000</v>
      </c>
      <c r="AH78" s="29">
        <v>380000</v>
      </c>
      <c r="AI78" s="29">
        <v>380000</v>
      </c>
      <c r="AK78" s="168">
        <f t="shared" si="159"/>
        <v>0</v>
      </c>
      <c r="AL78" s="168"/>
    </row>
    <row r="79" spans="1:38" x14ac:dyDescent="0.2">
      <c r="A79" s="77" t="s">
        <v>111</v>
      </c>
      <c r="B79" s="77" t="str">
        <f t="shared" si="155"/>
        <v>FUNCIONAMIENTO</v>
      </c>
      <c r="C79" s="78" t="s">
        <v>86</v>
      </c>
      <c r="D79" s="83" t="s">
        <v>178</v>
      </c>
      <c r="E79" s="79">
        <f>VLOOKUP($C79,DATOS!$A$1:$O$1101,3,FALSE)</f>
        <v>3471558000</v>
      </c>
      <c r="F79" s="191">
        <f>VLOOKUP($C79,DATOS!$A$1:$O$1101,4,FALSE)</f>
        <v>0</v>
      </c>
      <c r="G79" s="79">
        <f>VLOOKUP($C79,DATOS!$A$1:$O$1101,5,FALSE)</f>
        <v>91259000</v>
      </c>
      <c r="H79" s="129">
        <f t="shared" si="160"/>
        <v>3562817000</v>
      </c>
      <c r="I79" s="79">
        <f>VLOOKUP($C79,DATOS!$A$1:$O$1101,7,FALSE)</f>
        <v>0</v>
      </c>
      <c r="J79" s="79">
        <f t="shared" si="161"/>
        <v>3562817000</v>
      </c>
      <c r="K79" s="79">
        <f>VLOOKUP($C79,DATOS!$A$1:$O$1101,9,FALSE)</f>
        <v>98668000</v>
      </c>
      <c r="L79" s="79">
        <f>VLOOKUP($C79,DATOS!$A$1:$O$1101,10,FALSE)</f>
        <v>1075343000</v>
      </c>
      <c r="M79" s="80">
        <f t="shared" si="157"/>
        <v>0.30182380964276301</v>
      </c>
      <c r="N79" s="79">
        <f>VLOOKUP($C79,DATOS!$A$1:$O$1101,12,FALSE)</f>
        <v>98668000</v>
      </c>
      <c r="O79" s="79">
        <f>VLOOKUP($C79,DATOS!$A$1:$O$1101,13,FALSE)</f>
        <v>1075343000</v>
      </c>
      <c r="P79" s="80">
        <f t="shared" si="158"/>
        <v>0.30182380964276301</v>
      </c>
      <c r="Q79" s="85">
        <f t="shared" si="169"/>
        <v>1075343000</v>
      </c>
      <c r="R79" s="85">
        <f t="shared" si="162"/>
        <v>3562817000</v>
      </c>
      <c r="S79" s="97">
        <f>-2447247000-40227000</f>
        <v>-2487474000</v>
      </c>
      <c r="T79" s="85">
        <f t="shared" si="76"/>
        <v>0</v>
      </c>
      <c r="U79" s="85">
        <f t="shared" si="77"/>
        <v>0</v>
      </c>
      <c r="V79" s="85">
        <f t="shared" si="38"/>
        <v>1075343000</v>
      </c>
      <c r="W79" s="85">
        <f t="shared" si="163"/>
        <v>976675000</v>
      </c>
      <c r="X79" s="97">
        <v>98668000</v>
      </c>
      <c r="Y79" s="85">
        <f t="shared" si="164"/>
        <v>0</v>
      </c>
      <c r="Z79" s="85">
        <f t="shared" si="165"/>
        <v>1075343000</v>
      </c>
      <c r="AA79" s="85">
        <f t="shared" si="166"/>
        <v>976675000</v>
      </c>
      <c r="AB79" s="97">
        <v>98668000</v>
      </c>
      <c r="AC79" s="85">
        <f t="shared" si="167"/>
        <v>0</v>
      </c>
      <c r="AD79" s="85">
        <f t="shared" si="78"/>
        <v>0</v>
      </c>
      <c r="AE79" s="29">
        <f t="shared" si="168"/>
        <v>8</v>
      </c>
      <c r="AG79" s="29">
        <v>3562817000</v>
      </c>
      <c r="AH79" s="29">
        <v>976675000</v>
      </c>
      <c r="AI79" s="29">
        <v>976675000</v>
      </c>
      <c r="AK79" s="168">
        <f t="shared" si="159"/>
        <v>0</v>
      </c>
      <c r="AL79" s="168"/>
    </row>
    <row r="80" spans="1:38" hidden="1" x14ac:dyDescent="0.2">
      <c r="A80" s="75"/>
      <c r="B80" s="75" t="str">
        <f t="shared" si="155"/>
        <v>INVERSION</v>
      </c>
      <c r="C80" s="59" t="s">
        <v>87</v>
      </c>
      <c r="D80" s="58" t="s">
        <v>14</v>
      </c>
      <c r="E80" s="60">
        <f>E81</f>
        <v>177372133000</v>
      </c>
      <c r="F80" s="60">
        <f t="shared" ref="F80:U81" si="170">F81</f>
        <v>0</v>
      </c>
      <c r="G80" s="60">
        <f t="shared" si="170"/>
        <v>114023951109</v>
      </c>
      <c r="H80" s="60">
        <f t="shared" ref="H80:H121" si="171">E80+G80</f>
        <v>291396084109</v>
      </c>
      <c r="I80" s="60">
        <f t="shared" si="170"/>
        <v>0</v>
      </c>
      <c r="J80" s="60">
        <f t="shared" ref="J80:J121" si="172">H80-I80</f>
        <v>291396084109</v>
      </c>
      <c r="K80" s="60">
        <f t="shared" si="170"/>
        <v>33282036115</v>
      </c>
      <c r="L80" s="60">
        <f t="shared" si="170"/>
        <v>277383051706</v>
      </c>
      <c r="M80" s="61">
        <f t="shared" si="157"/>
        <v>0.95191070447687187</v>
      </c>
      <c r="N80" s="60">
        <f t="shared" si="170"/>
        <v>23116946292</v>
      </c>
      <c r="O80" s="60">
        <f t="shared" si="170"/>
        <v>38092851006</v>
      </c>
      <c r="P80" s="61">
        <f t="shared" si="158"/>
        <v>0.13072533600606293</v>
      </c>
      <c r="Q80" s="84">
        <f t="shared" ref="Q80:Q122" si="173">SUM(R80:S80)</f>
        <v>277383051706</v>
      </c>
      <c r="R80" s="84">
        <f>R81</f>
        <v>246851421936</v>
      </c>
      <c r="S80" s="84">
        <f>S81</f>
        <v>30531629770</v>
      </c>
      <c r="T80" s="84">
        <f t="shared" ref="T80" si="174">+Q80-L80</f>
        <v>0</v>
      </c>
      <c r="U80" s="84">
        <f t="shared" ref="U80" si="175">+V80-L80</f>
        <v>0</v>
      </c>
      <c r="V80" s="84">
        <f t="shared" si="38"/>
        <v>277383051706</v>
      </c>
      <c r="W80" s="84">
        <f>W81</f>
        <v>244101015591</v>
      </c>
      <c r="X80" s="84">
        <f>X81</f>
        <v>33282036115</v>
      </c>
      <c r="Y80" s="84">
        <f t="shared" ref="Y80:Y121" si="176">+L80-V80</f>
        <v>0</v>
      </c>
      <c r="Z80" s="84">
        <f t="shared" ref="Z80:Z121" si="177">SUM(AA80:AB80)</f>
        <v>38092851006</v>
      </c>
      <c r="AA80" s="84">
        <f>AA81</f>
        <v>14975904714</v>
      </c>
      <c r="AB80" s="84">
        <f>AB81</f>
        <v>23116946292</v>
      </c>
      <c r="AC80" s="84">
        <f t="shared" ref="AC80:AC122" si="178">+O80-Z80</f>
        <v>0</v>
      </c>
      <c r="AD80" s="84">
        <f t="shared" ref="AD80" si="179">+L80-O80</f>
        <v>239290200700</v>
      </c>
      <c r="AE80" s="29">
        <f t="shared" si="168"/>
        <v>3</v>
      </c>
      <c r="AG80" s="29">
        <v>246851421936</v>
      </c>
      <c r="AH80" s="29">
        <v>244101015591</v>
      </c>
      <c r="AI80" s="29">
        <v>14975904714</v>
      </c>
      <c r="AK80" s="168">
        <f t="shared" si="159"/>
        <v>1</v>
      </c>
      <c r="AL80" s="168"/>
    </row>
    <row r="81" spans="1:38" hidden="1" x14ac:dyDescent="0.2">
      <c r="A81" s="75"/>
      <c r="B81" s="75" t="str">
        <f t="shared" si="155"/>
        <v>INVERSION</v>
      </c>
      <c r="C81" s="59" t="s">
        <v>88</v>
      </c>
      <c r="D81" s="58" t="s">
        <v>89</v>
      </c>
      <c r="E81" s="60">
        <f>E82</f>
        <v>177372133000</v>
      </c>
      <c r="F81" s="60">
        <f t="shared" si="170"/>
        <v>0</v>
      </c>
      <c r="G81" s="60">
        <f t="shared" si="170"/>
        <v>114023951109</v>
      </c>
      <c r="H81" s="60">
        <f t="shared" si="170"/>
        <v>291396084109</v>
      </c>
      <c r="I81" s="60">
        <f t="shared" si="170"/>
        <v>0</v>
      </c>
      <c r="J81" s="60">
        <f t="shared" si="170"/>
        <v>291396084109</v>
      </c>
      <c r="K81" s="60">
        <f t="shared" si="170"/>
        <v>33282036115</v>
      </c>
      <c r="L81" s="60">
        <f t="shared" si="170"/>
        <v>277383051706</v>
      </c>
      <c r="M81" s="61">
        <f t="shared" si="157"/>
        <v>0.95191070447687187</v>
      </c>
      <c r="N81" s="60">
        <f t="shared" si="170"/>
        <v>23116946292</v>
      </c>
      <c r="O81" s="60">
        <f t="shared" si="170"/>
        <v>38092851006</v>
      </c>
      <c r="P81" s="61">
        <f t="shared" si="158"/>
        <v>0.13072533600606293</v>
      </c>
      <c r="Q81" s="84">
        <f t="shared" si="170"/>
        <v>277383051706</v>
      </c>
      <c r="R81" s="84">
        <f t="shared" si="170"/>
        <v>246851421936</v>
      </c>
      <c r="S81" s="84">
        <f t="shared" si="170"/>
        <v>30531629770</v>
      </c>
      <c r="T81" s="84">
        <f t="shared" si="170"/>
        <v>0</v>
      </c>
      <c r="U81" s="84">
        <f t="shared" si="170"/>
        <v>0</v>
      </c>
      <c r="V81" s="84">
        <f t="shared" ref="V81:AD81" si="180">V82</f>
        <v>277383051706</v>
      </c>
      <c r="W81" s="84">
        <f t="shared" si="180"/>
        <v>244101015591</v>
      </c>
      <c r="X81" s="84">
        <f t="shared" si="180"/>
        <v>33282036115</v>
      </c>
      <c r="Y81" s="84">
        <f t="shared" si="180"/>
        <v>0</v>
      </c>
      <c r="Z81" s="84">
        <f t="shared" si="180"/>
        <v>38092851006</v>
      </c>
      <c r="AA81" s="84">
        <f t="shared" si="180"/>
        <v>14975904714</v>
      </c>
      <c r="AB81" s="84">
        <f t="shared" si="180"/>
        <v>23116946292</v>
      </c>
      <c r="AC81" s="84">
        <f t="shared" si="180"/>
        <v>0</v>
      </c>
      <c r="AD81" s="84">
        <f t="shared" si="180"/>
        <v>239290200700</v>
      </c>
      <c r="AE81" s="29">
        <f t="shared" si="168"/>
        <v>5</v>
      </c>
      <c r="AG81" s="29">
        <v>246851421936</v>
      </c>
      <c r="AH81" s="29">
        <v>244101015591</v>
      </c>
      <c r="AI81" s="29">
        <v>14975904714</v>
      </c>
      <c r="AK81" s="168">
        <f t="shared" si="159"/>
        <v>1</v>
      </c>
      <c r="AL81" s="168"/>
    </row>
    <row r="82" spans="1:38" s="22" customFormat="1" hidden="1" x14ac:dyDescent="0.2">
      <c r="A82" s="165"/>
      <c r="B82" s="165" t="str">
        <f t="shared" si="155"/>
        <v>INVERSION</v>
      </c>
      <c r="C82" s="59" t="s">
        <v>248</v>
      </c>
      <c r="D82" s="57" t="s">
        <v>249</v>
      </c>
      <c r="E82" s="60">
        <f>SUM(E83,E95)</f>
        <v>177372133000</v>
      </c>
      <c r="F82" s="60">
        <f>SUM(F83,F95)</f>
        <v>0</v>
      </c>
      <c r="G82" s="60">
        <f>SUM(G83,G95)</f>
        <v>114023951109</v>
      </c>
      <c r="H82" s="60">
        <f t="shared" si="171"/>
        <v>291396084109</v>
      </c>
      <c r="I82" s="60">
        <f>SUM(I83,I95)</f>
        <v>0</v>
      </c>
      <c r="J82" s="60">
        <f t="shared" si="172"/>
        <v>291396084109</v>
      </c>
      <c r="K82" s="60">
        <f>SUM(K83,K95)</f>
        <v>33282036115</v>
      </c>
      <c r="L82" s="60">
        <f>SUM(L83,L95)</f>
        <v>277383051706</v>
      </c>
      <c r="M82" s="61">
        <f t="shared" si="157"/>
        <v>0.95191070447687187</v>
      </c>
      <c r="N82" s="60">
        <f>SUM(N83,N95)</f>
        <v>23116946292</v>
      </c>
      <c r="O82" s="60">
        <f>SUM(O83,O95)</f>
        <v>38092851006</v>
      </c>
      <c r="P82" s="61">
        <f t="shared" si="158"/>
        <v>0.13072533600606293</v>
      </c>
      <c r="Q82" s="60">
        <f t="shared" ref="Q82:AD82" si="181">SUM(Q83,Q95)</f>
        <v>277383051706</v>
      </c>
      <c r="R82" s="60">
        <f t="shared" si="181"/>
        <v>246851421936</v>
      </c>
      <c r="S82" s="60">
        <f t="shared" si="181"/>
        <v>30531629770</v>
      </c>
      <c r="T82" s="60">
        <f t="shared" si="181"/>
        <v>0</v>
      </c>
      <c r="U82" s="60">
        <f t="shared" si="181"/>
        <v>0</v>
      </c>
      <c r="V82" s="60">
        <f t="shared" si="181"/>
        <v>277383051706</v>
      </c>
      <c r="W82" s="60">
        <f t="shared" si="181"/>
        <v>244101015591</v>
      </c>
      <c r="X82" s="60">
        <f t="shared" si="181"/>
        <v>33282036115</v>
      </c>
      <c r="Y82" s="60">
        <f t="shared" si="181"/>
        <v>0</v>
      </c>
      <c r="Z82" s="60">
        <f t="shared" si="181"/>
        <v>38092851006</v>
      </c>
      <c r="AA82" s="60">
        <f t="shared" si="181"/>
        <v>14975904714</v>
      </c>
      <c r="AB82" s="60">
        <f t="shared" si="181"/>
        <v>23116946292</v>
      </c>
      <c r="AC82" s="60">
        <f t="shared" si="181"/>
        <v>0</v>
      </c>
      <c r="AD82" s="60">
        <f t="shared" si="181"/>
        <v>239290200700</v>
      </c>
      <c r="AE82" s="29">
        <f t="shared" si="168"/>
        <v>7</v>
      </c>
      <c r="AG82" s="29">
        <v>246851421936</v>
      </c>
      <c r="AH82" s="29">
        <v>244101015591</v>
      </c>
      <c r="AI82" s="29">
        <v>14975904714</v>
      </c>
      <c r="AK82" s="168">
        <f t="shared" si="159"/>
        <v>1</v>
      </c>
      <c r="AL82" s="168"/>
    </row>
    <row r="83" spans="1:38" s="22" customFormat="1" hidden="1" x14ac:dyDescent="0.2">
      <c r="A83" s="165"/>
      <c r="B83" s="165" t="str">
        <f t="shared" si="155"/>
        <v>INVERSION</v>
      </c>
      <c r="C83" s="59" t="s">
        <v>250</v>
      </c>
      <c r="D83" s="57" t="s">
        <v>251</v>
      </c>
      <c r="E83" s="60">
        <f>SUM(E84,E88)</f>
        <v>168947133000</v>
      </c>
      <c r="F83" s="60">
        <f t="shared" ref="F83:AD83" si="182">SUM(F84,F88)</f>
        <v>0</v>
      </c>
      <c r="G83" s="60">
        <f t="shared" si="182"/>
        <v>115575728132</v>
      </c>
      <c r="H83" s="60">
        <f t="shared" si="182"/>
        <v>284522861132</v>
      </c>
      <c r="I83" s="60">
        <f t="shared" si="182"/>
        <v>0</v>
      </c>
      <c r="J83" s="60">
        <f t="shared" si="182"/>
        <v>284522861132</v>
      </c>
      <c r="K83" s="60">
        <f t="shared" si="182"/>
        <v>32058243753</v>
      </c>
      <c r="L83" s="60">
        <f t="shared" si="182"/>
        <v>271967226796</v>
      </c>
      <c r="M83" s="61">
        <f t="shared" si="157"/>
        <v>0.95587126360937646</v>
      </c>
      <c r="N83" s="60">
        <f t="shared" si="182"/>
        <v>22499454348</v>
      </c>
      <c r="O83" s="60">
        <f t="shared" si="182"/>
        <v>34931843404</v>
      </c>
      <c r="P83" s="61">
        <f t="shared" si="158"/>
        <v>0.12277341534181294</v>
      </c>
      <c r="Q83" s="60">
        <f t="shared" si="182"/>
        <v>271967226796</v>
      </c>
      <c r="R83" s="60">
        <f t="shared" si="182"/>
        <v>240378176660</v>
      </c>
      <c r="S83" s="60">
        <f t="shared" si="182"/>
        <v>31589050136</v>
      </c>
      <c r="T83" s="60">
        <f t="shared" si="182"/>
        <v>0</v>
      </c>
      <c r="U83" s="60">
        <f t="shared" si="182"/>
        <v>0</v>
      </c>
      <c r="V83" s="60">
        <f t="shared" si="182"/>
        <v>271967226796</v>
      </c>
      <c r="W83" s="60">
        <f t="shared" si="182"/>
        <v>239908983043</v>
      </c>
      <c r="X83" s="60">
        <f t="shared" si="182"/>
        <v>32058243753</v>
      </c>
      <c r="Y83" s="60">
        <f t="shared" si="182"/>
        <v>0</v>
      </c>
      <c r="Z83" s="60">
        <f t="shared" si="182"/>
        <v>34931843404</v>
      </c>
      <c r="AA83" s="60">
        <f t="shared" si="182"/>
        <v>12432389056</v>
      </c>
      <c r="AB83" s="60">
        <f t="shared" si="182"/>
        <v>22499454348</v>
      </c>
      <c r="AC83" s="60">
        <f t="shared" si="182"/>
        <v>0</v>
      </c>
      <c r="AD83" s="60">
        <f t="shared" si="182"/>
        <v>237035383392</v>
      </c>
      <c r="AE83" s="29">
        <f t="shared" si="168"/>
        <v>9</v>
      </c>
      <c r="AG83" s="29">
        <v>240378176660</v>
      </c>
      <c r="AH83" s="29">
        <v>239908983043</v>
      </c>
      <c r="AI83" s="29">
        <v>12432389056</v>
      </c>
      <c r="AK83" s="168">
        <f t="shared" si="159"/>
        <v>1</v>
      </c>
      <c r="AL83" s="168"/>
    </row>
    <row r="84" spans="1:38" s="22" customFormat="1" hidden="1" x14ac:dyDescent="0.2">
      <c r="A84" s="165"/>
      <c r="B84" s="165" t="str">
        <f t="shared" si="155"/>
        <v>INVERSION</v>
      </c>
      <c r="C84" s="59" t="s">
        <v>252</v>
      </c>
      <c r="D84" s="57" t="s">
        <v>253</v>
      </c>
      <c r="E84" s="60">
        <f>E85</f>
        <v>17895453000</v>
      </c>
      <c r="F84" s="60">
        <f t="shared" ref="F84:AD84" si="183">F85</f>
        <v>0</v>
      </c>
      <c r="G84" s="60">
        <f t="shared" si="183"/>
        <v>-26111124</v>
      </c>
      <c r="H84" s="60">
        <f t="shared" si="171"/>
        <v>17869341876</v>
      </c>
      <c r="I84" s="60">
        <f t="shared" si="183"/>
        <v>0</v>
      </c>
      <c r="J84" s="60">
        <f t="shared" si="172"/>
        <v>17869341876</v>
      </c>
      <c r="K84" s="60">
        <f t="shared" si="183"/>
        <v>17450692140</v>
      </c>
      <c r="L84" s="60">
        <f t="shared" si="183"/>
        <v>17869135840</v>
      </c>
      <c r="M84" s="61">
        <f t="shared" si="157"/>
        <v>0.99998846986075762</v>
      </c>
      <c r="N84" s="60">
        <f t="shared" si="183"/>
        <v>17551924417</v>
      </c>
      <c r="O84" s="60">
        <f t="shared" si="183"/>
        <v>17653319057</v>
      </c>
      <c r="P84" s="61">
        <f t="shared" si="158"/>
        <v>0.98791098068977368</v>
      </c>
      <c r="Q84" s="60">
        <f t="shared" si="183"/>
        <v>17869135840</v>
      </c>
      <c r="R84" s="60">
        <f t="shared" si="183"/>
        <v>610688840</v>
      </c>
      <c r="S84" s="60">
        <f t="shared" si="183"/>
        <v>17258447000</v>
      </c>
      <c r="T84" s="60">
        <f t="shared" si="183"/>
        <v>0</v>
      </c>
      <c r="U84" s="60">
        <f t="shared" si="183"/>
        <v>0</v>
      </c>
      <c r="V84" s="60">
        <f t="shared" si="183"/>
        <v>17869135840</v>
      </c>
      <c r="W84" s="60">
        <f t="shared" si="183"/>
        <v>418443700</v>
      </c>
      <c r="X84" s="60">
        <f t="shared" si="183"/>
        <v>17450692140</v>
      </c>
      <c r="Y84" s="60">
        <f t="shared" si="183"/>
        <v>0</v>
      </c>
      <c r="Z84" s="60">
        <f t="shared" si="183"/>
        <v>17653319057</v>
      </c>
      <c r="AA84" s="60">
        <f t="shared" si="183"/>
        <v>101394640</v>
      </c>
      <c r="AB84" s="60">
        <f t="shared" si="183"/>
        <v>17551924417</v>
      </c>
      <c r="AC84" s="60">
        <f t="shared" si="183"/>
        <v>0</v>
      </c>
      <c r="AD84" s="60">
        <f t="shared" si="183"/>
        <v>215816783</v>
      </c>
      <c r="AE84" s="29">
        <f t="shared" si="168"/>
        <v>11</v>
      </c>
      <c r="AG84" s="29">
        <v>610688840</v>
      </c>
      <c r="AH84" s="29">
        <v>418443700</v>
      </c>
      <c r="AI84" s="29">
        <v>101394640</v>
      </c>
      <c r="AK84" s="168">
        <f t="shared" si="159"/>
        <v>1</v>
      </c>
      <c r="AL84" s="168"/>
    </row>
    <row r="85" spans="1:38" s="22" customFormat="1" hidden="1" x14ac:dyDescent="0.2">
      <c r="A85" s="165"/>
      <c r="B85" s="165" t="str">
        <f t="shared" si="155"/>
        <v>INVERSION</v>
      </c>
      <c r="C85" s="59" t="s">
        <v>254</v>
      </c>
      <c r="D85" s="57" t="s">
        <v>255</v>
      </c>
      <c r="E85" s="60">
        <f>SUM(E86:E87)</f>
        <v>17895453000</v>
      </c>
      <c r="F85" s="60">
        <f t="shared" ref="F85:AD85" si="184">SUM(F86:F87)</f>
        <v>0</v>
      </c>
      <c r="G85" s="60">
        <f t="shared" si="184"/>
        <v>-26111124</v>
      </c>
      <c r="H85" s="60">
        <f t="shared" si="184"/>
        <v>17869341876</v>
      </c>
      <c r="I85" s="60">
        <f t="shared" si="184"/>
        <v>0</v>
      </c>
      <c r="J85" s="60">
        <f t="shared" si="184"/>
        <v>17869341876</v>
      </c>
      <c r="K85" s="60">
        <f t="shared" si="184"/>
        <v>17450692140</v>
      </c>
      <c r="L85" s="60">
        <f t="shared" si="184"/>
        <v>17869135840</v>
      </c>
      <c r="M85" s="61">
        <f t="shared" si="157"/>
        <v>0.99998846986075762</v>
      </c>
      <c r="N85" s="60">
        <f t="shared" si="184"/>
        <v>17551924417</v>
      </c>
      <c r="O85" s="60">
        <f t="shared" si="184"/>
        <v>17653319057</v>
      </c>
      <c r="P85" s="61">
        <f t="shared" si="158"/>
        <v>0.98791098068977368</v>
      </c>
      <c r="Q85" s="84">
        <f t="shared" si="184"/>
        <v>17869135840</v>
      </c>
      <c r="R85" s="84">
        <f t="shared" si="184"/>
        <v>610688840</v>
      </c>
      <c r="S85" s="179">
        <f t="shared" si="184"/>
        <v>17258447000</v>
      </c>
      <c r="T85" s="84">
        <f t="shared" si="184"/>
        <v>0</v>
      </c>
      <c r="U85" s="84">
        <f t="shared" si="184"/>
        <v>0</v>
      </c>
      <c r="V85" s="84">
        <f t="shared" si="184"/>
        <v>17869135840</v>
      </c>
      <c r="W85" s="84">
        <f t="shared" si="184"/>
        <v>418443700</v>
      </c>
      <c r="X85" s="179">
        <f t="shared" si="184"/>
        <v>17450692140</v>
      </c>
      <c r="Y85" s="84">
        <f t="shared" si="184"/>
        <v>0</v>
      </c>
      <c r="Z85" s="84">
        <f t="shared" si="184"/>
        <v>17653319057</v>
      </c>
      <c r="AA85" s="84">
        <f t="shared" si="184"/>
        <v>101394640</v>
      </c>
      <c r="AB85" s="179">
        <f t="shared" si="184"/>
        <v>17551924417</v>
      </c>
      <c r="AC85" s="84">
        <f t="shared" si="184"/>
        <v>0</v>
      </c>
      <c r="AD85" s="84">
        <f t="shared" si="184"/>
        <v>215816783</v>
      </c>
      <c r="AE85" s="180">
        <f t="shared" si="168"/>
        <v>24</v>
      </c>
      <c r="AG85" s="180">
        <v>610688840</v>
      </c>
      <c r="AH85" s="180">
        <v>418443700</v>
      </c>
      <c r="AI85" s="180">
        <v>101394640</v>
      </c>
      <c r="AK85" s="168">
        <f t="shared" si="159"/>
        <v>1</v>
      </c>
      <c r="AL85" s="182"/>
    </row>
    <row r="86" spans="1:38" s="166" customFormat="1" x14ac:dyDescent="0.2">
      <c r="A86" s="77" t="s">
        <v>111</v>
      </c>
      <c r="B86" s="77" t="str">
        <f t="shared" si="155"/>
        <v>INVERSION</v>
      </c>
      <c r="C86" s="78" t="s">
        <v>299</v>
      </c>
      <c r="D86" s="83" t="s">
        <v>300</v>
      </c>
      <c r="E86" s="79">
        <f>VLOOKUP($C86,DATOS!$A$1:$O$1101,3,FALSE)</f>
        <v>17335453000</v>
      </c>
      <c r="F86" s="191">
        <f>VLOOKUP($C86,DATOS!$A$1:$O$1101,4,FALSE)</f>
        <v>0</v>
      </c>
      <c r="G86" s="79">
        <f>VLOOKUP($C86,DATOS!$A$1:$O$1101,5,FALSE)</f>
        <v>290850966</v>
      </c>
      <c r="H86" s="79">
        <f t="shared" ref="H86:H87" si="185">E86+G86</f>
        <v>17626303966</v>
      </c>
      <c r="I86" s="79">
        <f>VLOOKUP($C86,DATOS!$A$1:$O$1101,7,FALSE)</f>
        <v>0</v>
      </c>
      <c r="J86" s="79">
        <f t="shared" ref="J86:J87" si="186">H86-I86</f>
        <v>17626303966</v>
      </c>
      <c r="K86" s="79">
        <f>VLOOKUP($C86,DATOS!$A$1:$O$1101,9,FALSE)</f>
        <v>17450692140</v>
      </c>
      <c r="L86" s="79">
        <f>VLOOKUP($C86,DATOS!$A$1:$O$1101,10,FALSE)</f>
        <v>17626097930</v>
      </c>
      <c r="M86" s="80">
        <f t="shared" si="157"/>
        <v>0.99998831087899098</v>
      </c>
      <c r="N86" s="79">
        <f>VLOOKUP($C86,DATOS!$A$1:$O$1101,12,FALSE)</f>
        <v>17423308590</v>
      </c>
      <c r="O86" s="79">
        <f>VLOOKUP($C86,DATOS!$A$1:$O$1101,13,FALSE)</f>
        <v>17519903230</v>
      </c>
      <c r="P86" s="80">
        <f t="shared" si="158"/>
        <v>0.9939635254103617</v>
      </c>
      <c r="Q86" s="85">
        <f t="shared" ref="Q86:Q87" si="187">SUM(R86:S86)</f>
        <v>17626097930</v>
      </c>
      <c r="R86" s="85">
        <f>AG86</f>
        <v>367650930</v>
      </c>
      <c r="S86" s="97">
        <v>17258447000</v>
      </c>
      <c r="T86" s="85">
        <f>+Q86-L86</f>
        <v>0</v>
      </c>
      <c r="U86" s="85">
        <f t="shared" ref="U86:U87" si="188">+V86-L86</f>
        <v>0</v>
      </c>
      <c r="V86" s="85">
        <f>SUM(W86:X86)</f>
        <v>17626097930</v>
      </c>
      <c r="W86" s="85">
        <f>AH86</f>
        <v>175405790</v>
      </c>
      <c r="X86" s="97">
        <v>17450692140</v>
      </c>
      <c r="Y86" s="85">
        <f>+L86-V86</f>
        <v>0</v>
      </c>
      <c r="Z86" s="85">
        <f t="shared" ref="Z86:Z87" si="189">SUM(AA86:AB86)</f>
        <v>17519903230</v>
      </c>
      <c r="AA86" s="85">
        <f>AI86</f>
        <v>96594640</v>
      </c>
      <c r="AB86" s="97">
        <v>17423308590</v>
      </c>
      <c r="AC86" s="85">
        <f>+O86-Z86</f>
        <v>0</v>
      </c>
      <c r="AD86" s="85">
        <f t="shared" ref="AD86:AD87" si="190">+L86-O86</f>
        <v>106194700</v>
      </c>
      <c r="AE86" s="29"/>
      <c r="AG86" s="29">
        <v>367650930</v>
      </c>
      <c r="AH86" s="29">
        <v>175405790</v>
      </c>
      <c r="AI86" s="29">
        <v>96594640</v>
      </c>
      <c r="AK86" s="168">
        <f t="shared" si="159"/>
        <v>1</v>
      </c>
      <c r="AL86" s="168"/>
    </row>
    <row r="87" spans="1:38" s="177" customFormat="1" x14ac:dyDescent="0.2">
      <c r="A87" s="66" t="s">
        <v>112</v>
      </c>
      <c r="B87" s="66" t="str">
        <f t="shared" si="155"/>
        <v>INVERSION</v>
      </c>
      <c r="C87" s="67" t="s">
        <v>301</v>
      </c>
      <c r="D87" s="71" t="s">
        <v>302</v>
      </c>
      <c r="E87" s="68">
        <f>VLOOKUP($C87,DATOS!$A$1:$O$1101,3,FALSE)</f>
        <v>560000000</v>
      </c>
      <c r="F87" s="192">
        <f>VLOOKUP($C87,DATOS!$A$1:$O$1101,4,FALSE)</f>
        <v>0</v>
      </c>
      <c r="G87" s="68">
        <f>VLOOKUP($C87,DATOS!$A$1:$O$1101,5,FALSE)</f>
        <v>-316962090</v>
      </c>
      <c r="H87" s="68">
        <f t="shared" si="185"/>
        <v>243037910</v>
      </c>
      <c r="I87" s="68">
        <f>VLOOKUP($C87,DATOS!$A$1:$O$1101,7,FALSE)</f>
        <v>0</v>
      </c>
      <c r="J87" s="68">
        <f t="shared" si="186"/>
        <v>243037910</v>
      </c>
      <c r="K87" s="68">
        <f>VLOOKUP($C87,DATOS!$A$1:$O$1101,9,FALSE)</f>
        <v>0</v>
      </c>
      <c r="L87" s="68">
        <f>VLOOKUP($C87,DATOS!$A$1:$O$1101,10,FALSE)</f>
        <v>243037910</v>
      </c>
      <c r="M87" s="69">
        <f t="shared" si="157"/>
        <v>1</v>
      </c>
      <c r="N87" s="68">
        <f>VLOOKUP($C87,DATOS!$A$1:$O$1101,12,FALSE)</f>
        <v>128615827</v>
      </c>
      <c r="O87" s="68">
        <f>VLOOKUP($C87,DATOS!$A$1:$O$1101,13,FALSE)</f>
        <v>133415827</v>
      </c>
      <c r="P87" s="69">
        <f t="shared" si="158"/>
        <v>0.54895068427802063</v>
      </c>
      <c r="Q87" s="72">
        <f t="shared" si="187"/>
        <v>243037910</v>
      </c>
      <c r="R87" s="72">
        <f t="shared" ref="R87" si="191">AG87</f>
        <v>243037910</v>
      </c>
      <c r="S87" s="97">
        <v>0</v>
      </c>
      <c r="T87" s="72">
        <f t="shared" ref="T87" si="192">+Q87-L87</f>
        <v>0</v>
      </c>
      <c r="U87" s="72">
        <f t="shared" si="188"/>
        <v>0</v>
      </c>
      <c r="V87" s="72">
        <f t="shared" ref="V87" si="193">SUM(W87:X87)</f>
        <v>243037910</v>
      </c>
      <c r="W87" s="72">
        <f t="shared" ref="W87" si="194">AH87</f>
        <v>243037910</v>
      </c>
      <c r="X87" s="97">
        <v>0</v>
      </c>
      <c r="Y87" s="72">
        <f t="shared" ref="Y87" si="195">+L87-V87</f>
        <v>0</v>
      </c>
      <c r="Z87" s="72">
        <f t="shared" si="189"/>
        <v>133415827</v>
      </c>
      <c r="AA87" s="72">
        <f t="shared" ref="AA87" si="196">AI87</f>
        <v>4800000</v>
      </c>
      <c r="AB87" s="97">
        <v>128615827</v>
      </c>
      <c r="AC87" s="72">
        <f t="shared" ref="AC87" si="197">+O87-Z87</f>
        <v>0</v>
      </c>
      <c r="AD87" s="72">
        <f t="shared" si="190"/>
        <v>109622083</v>
      </c>
      <c r="AE87" s="29">
        <f t="shared" ref="AE87" si="198">LEN(C87)</f>
        <v>25</v>
      </c>
      <c r="AG87" s="176">
        <v>243037910</v>
      </c>
      <c r="AH87" s="176">
        <v>243037910</v>
      </c>
      <c r="AI87" s="176">
        <v>4800000</v>
      </c>
      <c r="AK87" s="168">
        <f t="shared" si="159"/>
        <v>1</v>
      </c>
      <c r="AL87" s="178"/>
    </row>
    <row r="88" spans="1:38" s="22" customFormat="1" hidden="1" x14ac:dyDescent="0.2">
      <c r="A88" s="165"/>
      <c r="B88" s="165" t="str">
        <f t="shared" si="155"/>
        <v>INVERSION</v>
      </c>
      <c r="C88" s="59" t="s">
        <v>256</v>
      </c>
      <c r="D88" s="57" t="s">
        <v>257</v>
      </c>
      <c r="E88" s="60">
        <f>SUM(E89,E92)</f>
        <v>151051680000</v>
      </c>
      <c r="F88" s="60">
        <f t="shared" ref="F88:AE88" si="199">SUM(F89,F92)</f>
        <v>0</v>
      </c>
      <c r="G88" s="60">
        <f t="shared" si="199"/>
        <v>115601839256</v>
      </c>
      <c r="H88" s="60">
        <f t="shared" si="199"/>
        <v>266653519256</v>
      </c>
      <c r="I88" s="60">
        <f t="shared" si="199"/>
        <v>0</v>
      </c>
      <c r="J88" s="60">
        <f t="shared" si="199"/>
        <v>266653519256</v>
      </c>
      <c r="K88" s="60">
        <f t="shared" si="199"/>
        <v>14607551613</v>
      </c>
      <c r="L88" s="60">
        <f t="shared" si="199"/>
        <v>254098090956</v>
      </c>
      <c r="M88" s="61">
        <f t="shared" si="157"/>
        <v>0.95291482244437886</v>
      </c>
      <c r="N88" s="60">
        <f t="shared" si="199"/>
        <v>4947529931</v>
      </c>
      <c r="O88" s="60">
        <f t="shared" si="199"/>
        <v>17278524347</v>
      </c>
      <c r="P88" s="61">
        <f t="shared" si="158"/>
        <v>6.4797661006723101E-2</v>
      </c>
      <c r="Q88" s="60">
        <f t="shared" si="199"/>
        <v>254098090956</v>
      </c>
      <c r="R88" s="60">
        <f t="shared" si="199"/>
        <v>239767487820</v>
      </c>
      <c r="S88" s="60">
        <f t="shared" si="199"/>
        <v>14330603136</v>
      </c>
      <c r="T88" s="60">
        <f t="shared" si="199"/>
        <v>0</v>
      </c>
      <c r="U88" s="60">
        <f t="shared" si="199"/>
        <v>0</v>
      </c>
      <c r="V88" s="60">
        <f t="shared" si="199"/>
        <v>254098090956</v>
      </c>
      <c r="W88" s="60">
        <f t="shared" si="199"/>
        <v>239490539343</v>
      </c>
      <c r="X88" s="60">
        <f t="shared" si="199"/>
        <v>14607551613</v>
      </c>
      <c r="Y88" s="60">
        <f t="shared" si="199"/>
        <v>0</v>
      </c>
      <c r="Z88" s="60">
        <f t="shared" si="199"/>
        <v>17278524347</v>
      </c>
      <c r="AA88" s="60">
        <f t="shared" si="199"/>
        <v>12330994416</v>
      </c>
      <c r="AB88" s="60">
        <f t="shared" si="199"/>
        <v>4947529931</v>
      </c>
      <c r="AC88" s="60">
        <f t="shared" si="199"/>
        <v>0</v>
      </c>
      <c r="AD88" s="60">
        <f t="shared" si="199"/>
        <v>236819566609</v>
      </c>
      <c r="AE88" s="29">
        <f t="shared" si="199"/>
        <v>48</v>
      </c>
      <c r="AG88" s="29">
        <v>239767487820</v>
      </c>
      <c r="AH88" s="29">
        <v>239490539343</v>
      </c>
      <c r="AI88" s="29">
        <v>12330994416</v>
      </c>
      <c r="AK88" s="168">
        <f t="shared" si="159"/>
        <v>1</v>
      </c>
      <c r="AL88" s="168"/>
    </row>
    <row r="89" spans="1:38" s="22" customFormat="1" hidden="1" x14ac:dyDescent="0.2">
      <c r="A89" s="165"/>
      <c r="B89" s="165" t="str">
        <f t="shared" si="155"/>
        <v>INVERSION</v>
      </c>
      <c r="C89" s="59" t="s">
        <v>258</v>
      </c>
      <c r="D89" s="57" t="s">
        <v>259</v>
      </c>
      <c r="E89" s="60">
        <f>SUM(E90:E91)</f>
        <v>136746686000</v>
      </c>
      <c r="F89" s="181">
        <f t="shared" ref="F89:AD89" si="200">SUM(F90:F91)</f>
        <v>0</v>
      </c>
      <c r="G89" s="60">
        <f t="shared" si="200"/>
        <v>116248094976</v>
      </c>
      <c r="H89" s="60">
        <f t="shared" si="200"/>
        <v>252994780976</v>
      </c>
      <c r="I89" s="60">
        <f t="shared" si="200"/>
        <v>0</v>
      </c>
      <c r="J89" s="60">
        <f t="shared" si="200"/>
        <v>252994780976</v>
      </c>
      <c r="K89" s="60">
        <f t="shared" si="200"/>
        <v>13933724030</v>
      </c>
      <c r="L89" s="60">
        <f t="shared" si="200"/>
        <v>252486646293</v>
      </c>
      <c r="M89" s="61">
        <f t="shared" si="157"/>
        <v>0.99799152108577216</v>
      </c>
      <c r="N89" s="60">
        <f t="shared" si="200"/>
        <v>4903949231</v>
      </c>
      <c r="O89" s="60">
        <f t="shared" si="200"/>
        <v>16408731829</v>
      </c>
      <c r="P89" s="61">
        <f t="shared" si="158"/>
        <v>6.4857985471868648E-2</v>
      </c>
      <c r="Q89" s="84">
        <f t="shared" si="200"/>
        <v>252486646293</v>
      </c>
      <c r="R89" s="84">
        <f t="shared" si="200"/>
        <v>238618988540</v>
      </c>
      <c r="S89" s="179">
        <f t="shared" si="200"/>
        <v>13867657753</v>
      </c>
      <c r="T89" s="84">
        <f t="shared" si="200"/>
        <v>0</v>
      </c>
      <c r="U89" s="84">
        <f t="shared" si="200"/>
        <v>0</v>
      </c>
      <c r="V89" s="84">
        <f t="shared" si="200"/>
        <v>252486646293</v>
      </c>
      <c r="W89" s="84">
        <f t="shared" si="200"/>
        <v>238552922263</v>
      </c>
      <c r="X89" s="179">
        <f t="shared" si="200"/>
        <v>13933724030</v>
      </c>
      <c r="Y89" s="84">
        <f t="shared" si="200"/>
        <v>0</v>
      </c>
      <c r="Z89" s="84">
        <f t="shared" si="200"/>
        <v>16408731829</v>
      </c>
      <c r="AA89" s="84">
        <f t="shared" si="200"/>
        <v>11504782598</v>
      </c>
      <c r="AB89" s="179">
        <f t="shared" si="200"/>
        <v>4903949231</v>
      </c>
      <c r="AC89" s="84">
        <f t="shared" si="200"/>
        <v>0</v>
      </c>
      <c r="AD89" s="84">
        <f t="shared" si="200"/>
        <v>236077914464</v>
      </c>
      <c r="AE89" s="180">
        <f t="shared" si="168"/>
        <v>24</v>
      </c>
      <c r="AG89" s="180">
        <v>238618988540</v>
      </c>
      <c r="AH89" s="180">
        <v>238552922263</v>
      </c>
      <c r="AI89" s="180">
        <v>11504782598</v>
      </c>
      <c r="AK89" s="168">
        <f t="shared" si="159"/>
        <v>1</v>
      </c>
      <c r="AL89" s="182"/>
    </row>
    <row r="90" spans="1:38" s="166" customFormat="1" x14ac:dyDescent="0.2">
      <c r="A90" s="77" t="s">
        <v>111</v>
      </c>
      <c r="B90" s="77" t="str">
        <f t="shared" si="155"/>
        <v>INVERSION</v>
      </c>
      <c r="C90" s="78" t="s">
        <v>276</v>
      </c>
      <c r="D90" s="83" t="s">
        <v>277</v>
      </c>
      <c r="E90" s="79">
        <f>VLOOKUP($C90,DATOS!$A$1:$O$1101,3,FALSE)</f>
        <v>61036686000</v>
      </c>
      <c r="F90" s="191">
        <f>VLOOKUP($C90,DATOS!$A$1:$O$1101,4,FALSE)</f>
        <v>0</v>
      </c>
      <c r="G90" s="79">
        <f>VLOOKUP($C90,DATOS!$A$1:$O$1101,5,FALSE)</f>
        <v>7894597271</v>
      </c>
      <c r="H90" s="79">
        <f t="shared" ref="H90:H91" si="201">E90+G90</f>
        <v>68931283271</v>
      </c>
      <c r="I90" s="79">
        <f>VLOOKUP($C90,DATOS!$A$1:$O$1101,7,FALSE)</f>
        <v>0</v>
      </c>
      <c r="J90" s="79">
        <f t="shared" ref="J90:J91" si="202">H90-I90</f>
        <v>68931283271</v>
      </c>
      <c r="K90" s="79">
        <f>VLOOKUP($C90,DATOS!$A$1:$O$1101,9,FALSE)</f>
        <v>13933724030</v>
      </c>
      <c r="L90" s="79">
        <f>VLOOKUP($C90,DATOS!$A$1:$O$1101,10,FALSE)</f>
        <v>68520727879</v>
      </c>
      <c r="M90" s="80">
        <f t="shared" si="157"/>
        <v>0.99404399029703361</v>
      </c>
      <c r="N90" s="79">
        <f>VLOOKUP($C90,DATOS!$A$1:$O$1101,12,FALSE)</f>
        <v>2474947823</v>
      </c>
      <c r="O90" s="79">
        <f>VLOOKUP($C90,DATOS!$A$1:$O$1101,13,FALSE)</f>
        <v>3535623138</v>
      </c>
      <c r="P90" s="80">
        <f t="shared" si="158"/>
        <v>5.1291996466972314E-2</v>
      </c>
      <c r="Q90" s="85">
        <f t="shared" ref="Q90:Q91" si="203">SUM(R90:S90)</f>
        <v>68520727879</v>
      </c>
      <c r="R90" s="85">
        <f>AG90</f>
        <v>54653070126</v>
      </c>
      <c r="S90" s="97">
        <v>13867657753</v>
      </c>
      <c r="T90" s="85">
        <f>+Q90-L90</f>
        <v>0</v>
      </c>
      <c r="U90" s="85">
        <f t="shared" ref="U90:U91" si="204">+V90-L90</f>
        <v>0</v>
      </c>
      <c r="V90" s="85">
        <f>SUM(W90:X90)</f>
        <v>68520727879</v>
      </c>
      <c r="W90" s="85">
        <f>AH90</f>
        <v>54587003849</v>
      </c>
      <c r="X90" s="97">
        <v>13933724030</v>
      </c>
      <c r="Y90" s="85">
        <f>+L90-V90</f>
        <v>0</v>
      </c>
      <c r="Z90" s="85">
        <f t="shared" ref="Z90:Z91" si="205">SUM(AA90:AB90)</f>
        <v>3535623138</v>
      </c>
      <c r="AA90" s="85">
        <f>AI90</f>
        <v>1060675315</v>
      </c>
      <c r="AB90" s="97">
        <v>2474947823</v>
      </c>
      <c r="AC90" s="85">
        <f>+O90-Z90</f>
        <v>0</v>
      </c>
      <c r="AD90" s="85">
        <f t="shared" ref="AD90:AD91" si="206">+L90-O90</f>
        <v>64985104741</v>
      </c>
      <c r="AE90" s="29"/>
      <c r="AG90" s="29">
        <v>54653070126</v>
      </c>
      <c r="AH90" s="29">
        <v>54587003849</v>
      </c>
      <c r="AI90" s="29">
        <v>1060675315</v>
      </c>
      <c r="AK90" s="168">
        <f t="shared" si="159"/>
        <v>1</v>
      </c>
      <c r="AL90" s="168"/>
    </row>
    <row r="91" spans="1:38" s="177" customFormat="1" x14ac:dyDescent="0.2">
      <c r="A91" s="66" t="s">
        <v>112</v>
      </c>
      <c r="B91" s="66" t="str">
        <f t="shared" si="155"/>
        <v>INVERSION</v>
      </c>
      <c r="C91" s="67" t="s">
        <v>278</v>
      </c>
      <c r="D91" s="71" t="s">
        <v>279</v>
      </c>
      <c r="E91" s="68">
        <f>VLOOKUP($C91,DATOS!$A$1:$O$1101,3,FALSE)</f>
        <v>75710000000</v>
      </c>
      <c r="F91" s="192">
        <f>VLOOKUP($C91,DATOS!$A$1:$O$1101,4,FALSE)</f>
        <v>0</v>
      </c>
      <c r="G91" s="68">
        <f>VLOOKUP($C91,DATOS!$A$1:$O$1101,5,FALSE)</f>
        <v>108353497705</v>
      </c>
      <c r="H91" s="68">
        <f t="shared" si="201"/>
        <v>184063497705</v>
      </c>
      <c r="I91" s="68">
        <f>VLOOKUP($C91,DATOS!$A$1:$O$1101,7,FALSE)</f>
        <v>0</v>
      </c>
      <c r="J91" s="68">
        <f t="shared" si="202"/>
        <v>184063497705</v>
      </c>
      <c r="K91" s="68">
        <f>VLOOKUP($C91,DATOS!$A$1:$O$1101,9,FALSE)</f>
        <v>0</v>
      </c>
      <c r="L91" s="68">
        <f>VLOOKUP($C91,DATOS!$A$1:$O$1101,10,FALSE)</f>
        <v>183965918414</v>
      </c>
      <c r="M91" s="69">
        <f t="shared" si="157"/>
        <v>0.99946986071536903</v>
      </c>
      <c r="N91" s="68">
        <f>VLOOKUP($C91,DATOS!$A$1:$O$1101,12,FALSE)</f>
        <v>2429001408</v>
      </c>
      <c r="O91" s="68">
        <f>VLOOKUP($C91,DATOS!$A$1:$O$1101,13,FALSE)</f>
        <v>12873108691</v>
      </c>
      <c r="P91" s="69">
        <f t="shared" si="158"/>
        <v>6.993841175196959E-2</v>
      </c>
      <c r="Q91" s="72">
        <f t="shared" si="203"/>
        <v>183965918414</v>
      </c>
      <c r="R91" s="72">
        <f t="shared" ref="R91" si="207">AG91</f>
        <v>183965918414</v>
      </c>
      <c r="S91" s="97">
        <v>0</v>
      </c>
      <c r="T91" s="72">
        <f t="shared" ref="T91" si="208">+Q91-L91</f>
        <v>0</v>
      </c>
      <c r="U91" s="72">
        <f t="shared" si="204"/>
        <v>0</v>
      </c>
      <c r="V91" s="72">
        <f t="shared" ref="V91" si="209">SUM(W91:X91)</f>
        <v>183965918414</v>
      </c>
      <c r="W91" s="72">
        <f t="shared" ref="W91" si="210">AH91</f>
        <v>183965918414</v>
      </c>
      <c r="X91" s="97">
        <v>0</v>
      </c>
      <c r="Y91" s="72">
        <f t="shared" ref="Y91" si="211">+L91-V91</f>
        <v>0</v>
      </c>
      <c r="Z91" s="72">
        <f t="shared" si="205"/>
        <v>12873108691</v>
      </c>
      <c r="AA91" s="72">
        <f t="shared" ref="AA91" si="212">AI91</f>
        <v>10444107283</v>
      </c>
      <c r="AB91" s="97">
        <v>2429001408</v>
      </c>
      <c r="AC91" s="72">
        <f t="shared" ref="AC91" si="213">+O91-Z91</f>
        <v>0</v>
      </c>
      <c r="AD91" s="72">
        <f t="shared" si="206"/>
        <v>171092809723</v>
      </c>
      <c r="AE91" s="29">
        <f t="shared" ref="AE91" si="214">LEN(C91)</f>
        <v>25</v>
      </c>
      <c r="AG91" s="176">
        <v>183965918414</v>
      </c>
      <c r="AH91" s="176">
        <v>183965918414</v>
      </c>
      <c r="AI91" s="176">
        <v>10444107283</v>
      </c>
      <c r="AK91" s="168">
        <f t="shared" si="159"/>
        <v>1</v>
      </c>
      <c r="AL91" s="178"/>
    </row>
    <row r="92" spans="1:38" s="166" customFormat="1" hidden="1" x14ac:dyDescent="0.2">
      <c r="A92" s="165"/>
      <c r="B92" s="165" t="str">
        <f t="shared" si="155"/>
        <v>INVERSION</v>
      </c>
      <c r="C92" s="59" t="s">
        <v>260</v>
      </c>
      <c r="D92" s="57" t="s">
        <v>261</v>
      </c>
      <c r="E92" s="60">
        <f>SUM(E93:E94)</f>
        <v>14304994000</v>
      </c>
      <c r="F92" s="60">
        <f t="shared" ref="F92:AD92" si="215">SUM(F93:F94)</f>
        <v>0</v>
      </c>
      <c r="G92" s="60">
        <f t="shared" si="215"/>
        <v>-646255720</v>
      </c>
      <c r="H92" s="60">
        <f t="shared" si="215"/>
        <v>13658738280</v>
      </c>
      <c r="I92" s="60">
        <f t="shared" si="215"/>
        <v>0</v>
      </c>
      <c r="J92" s="60">
        <f t="shared" si="215"/>
        <v>13658738280</v>
      </c>
      <c r="K92" s="60">
        <f t="shared" si="215"/>
        <v>673827583</v>
      </c>
      <c r="L92" s="60">
        <f t="shared" si="215"/>
        <v>1611444663</v>
      </c>
      <c r="M92" s="61">
        <f t="shared" si="157"/>
        <v>0.11797902778176668</v>
      </c>
      <c r="N92" s="60">
        <f t="shared" si="215"/>
        <v>43580700</v>
      </c>
      <c r="O92" s="60">
        <f t="shared" si="215"/>
        <v>869792518</v>
      </c>
      <c r="P92" s="61">
        <f t="shared" si="158"/>
        <v>6.3680297562594482E-2</v>
      </c>
      <c r="Q92" s="84">
        <f t="shared" si="215"/>
        <v>1611444663</v>
      </c>
      <c r="R92" s="84">
        <f t="shared" si="215"/>
        <v>1148499280</v>
      </c>
      <c r="S92" s="179">
        <f t="shared" si="215"/>
        <v>462945383</v>
      </c>
      <c r="T92" s="84">
        <f t="shared" si="215"/>
        <v>0</v>
      </c>
      <c r="U92" s="84">
        <f t="shared" si="215"/>
        <v>0</v>
      </c>
      <c r="V92" s="84">
        <f t="shared" si="215"/>
        <v>1611444663</v>
      </c>
      <c r="W92" s="84">
        <f t="shared" si="215"/>
        <v>937617080</v>
      </c>
      <c r="X92" s="179">
        <f t="shared" si="215"/>
        <v>673827583</v>
      </c>
      <c r="Y92" s="84">
        <f t="shared" si="215"/>
        <v>0</v>
      </c>
      <c r="Z92" s="84">
        <f t="shared" si="215"/>
        <v>869792518</v>
      </c>
      <c r="AA92" s="84">
        <f t="shared" si="215"/>
        <v>826211818</v>
      </c>
      <c r="AB92" s="179">
        <f t="shared" si="215"/>
        <v>43580700</v>
      </c>
      <c r="AC92" s="84">
        <f t="shared" si="215"/>
        <v>0</v>
      </c>
      <c r="AD92" s="84">
        <f t="shared" si="215"/>
        <v>741652145</v>
      </c>
      <c r="AE92" s="180">
        <f t="shared" si="168"/>
        <v>24</v>
      </c>
      <c r="AG92" s="29">
        <v>1148499280</v>
      </c>
      <c r="AH92" s="29">
        <v>937617080</v>
      </c>
      <c r="AI92" s="29">
        <v>826211818</v>
      </c>
      <c r="AK92" s="168">
        <f t="shared" si="159"/>
        <v>1</v>
      </c>
      <c r="AL92" s="168"/>
    </row>
    <row r="93" spans="1:38" s="166" customFormat="1" x14ac:dyDescent="0.2">
      <c r="A93" s="77" t="s">
        <v>111</v>
      </c>
      <c r="B93" s="77" t="str">
        <f t="shared" si="155"/>
        <v>INVERSION</v>
      </c>
      <c r="C93" s="78" t="s">
        <v>275</v>
      </c>
      <c r="D93" s="83" t="s">
        <v>280</v>
      </c>
      <c r="E93" s="79">
        <f>VLOOKUP($C93,DATOS!$A$1:$O$1101,3,FALSE)</f>
        <v>14074994000</v>
      </c>
      <c r="F93" s="191">
        <f>VLOOKUP($C93,DATOS!$A$1:$O$1101,4,FALSE)</f>
        <v>0</v>
      </c>
      <c r="G93" s="79">
        <f>VLOOKUP($C93,DATOS!$A$1:$O$1101,5,FALSE)</f>
        <v>-647466800</v>
      </c>
      <c r="H93" s="79">
        <f t="shared" ref="H93:H94" si="216">E93+G93</f>
        <v>13427527200</v>
      </c>
      <c r="I93" s="79">
        <f>VLOOKUP($C93,DATOS!$A$1:$O$1101,7,FALSE)</f>
        <v>0</v>
      </c>
      <c r="J93" s="79">
        <f t="shared" ref="J93:J94" si="217">H93-I93</f>
        <v>13427527200</v>
      </c>
      <c r="K93" s="79">
        <f>VLOOKUP($C93,DATOS!$A$1:$O$1101,9,FALSE)</f>
        <v>677490867</v>
      </c>
      <c r="L93" s="79">
        <f>VLOOKUP($C93,DATOS!$A$1:$O$1101,10,FALSE)</f>
        <v>1408991367</v>
      </c>
      <c r="M93" s="80">
        <f t="shared" si="157"/>
        <v>0.10493304880439937</v>
      </c>
      <c r="N93" s="79">
        <f>VLOOKUP($C93,DATOS!$A$1:$O$1101,12,FALSE)</f>
        <v>43580700</v>
      </c>
      <c r="O93" s="79">
        <f>VLOOKUP($C93,DATOS!$A$1:$O$1101,13,FALSE)</f>
        <v>681223763</v>
      </c>
      <c r="P93" s="80">
        <f t="shared" si="158"/>
        <v>5.0733374273112627E-2</v>
      </c>
      <c r="Q93" s="85">
        <f t="shared" ref="Q93:Q94" si="218">SUM(R93:S93)</f>
        <v>1408991367</v>
      </c>
      <c r="R93" s="85">
        <f>AG93</f>
        <v>942382700</v>
      </c>
      <c r="S93" s="97">
        <v>466608667</v>
      </c>
      <c r="T93" s="85">
        <f>+Q93-L93</f>
        <v>0</v>
      </c>
      <c r="U93" s="85">
        <f t="shared" ref="U93:U94" si="219">+V93-L93</f>
        <v>0</v>
      </c>
      <c r="V93" s="85">
        <f>SUM(W93:X93)</f>
        <v>1408991367</v>
      </c>
      <c r="W93" s="85">
        <f>AH93</f>
        <v>731500500</v>
      </c>
      <c r="X93" s="97">
        <v>677490867</v>
      </c>
      <c r="Y93" s="85">
        <f>+L93-V93</f>
        <v>0</v>
      </c>
      <c r="Z93" s="85">
        <f t="shared" ref="Z93:Z94" si="220">SUM(AA93:AB93)</f>
        <v>681223763</v>
      </c>
      <c r="AA93" s="85">
        <f>AI93</f>
        <v>637643063</v>
      </c>
      <c r="AB93" s="97">
        <v>43580700</v>
      </c>
      <c r="AC93" s="85">
        <f>+O93-Z93</f>
        <v>0</v>
      </c>
      <c r="AD93" s="85">
        <f t="shared" ref="AD93:AD94" si="221">+L93-O93</f>
        <v>727767604</v>
      </c>
      <c r="AE93" s="29"/>
      <c r="AG93" s="29">
        <v>942382700</v>
      </c>
      <c r="AH93" s="29">
        <v>731500500</v>
      </c>
      <c r="AI93" s="29">
        <v>637643063</v>
      </c>
      <c r="AK93" s="168">
        <f t="shared" si="159"/>
        <v>1</v>
      </c>
      <c r="AL93" s="168"/>
    </row>
    <row r="94" spans="1:38" s="177" customFormat="1" x14ac:dyDescent="0.2">
      <c r="A94" s="66" t="s">
        <v>112</v>
      </c>
      <c r="B94" s="66" t="str">
        <f t="shared" si="155"/>
        <v>INVERSION</v>
      </c>
      <c r="C94" s="67" t="s">
        <v>273</v>
      </c>
      <c r="D94" s="71" t="s">
        <v>274</v>
      </c>
      <c r="E94" s="68">
        <f>VLOOKUP($C94,DATOS!$A$1:$O$1101,3,FALSE)</f>
        <v>230000000</v>
      </c>
      <c r="F94" s="192">
        <f>VLOOKUP($C94,DATOS!$A$1:$O$1101,4,FALSE)</f>
        <v>0</v>
      </c>
      <c r="G94" s="68">
        <f>VLOOKUP($C94,DATOS!$A$1:$O$1101,5,FALSE)</f>
        <v>1211080</v>
      </c>
      <c r="H94" s="68">
        <f t="shared" si="216"/>
        <v>231211080</v>
      </c>
      <c r="I94" s="68">
        <f>VLOOKUP($C94,DATOS!$A$1:$O$1101,7,FALSE)</f>
        <v>0</v>
      </c>
      <c r="J94" s="68">
        <f t="shared" si="217"/>
        <v>231211080</v>
      </c>
      <c r="K94" s="68">
        <f>VLOOKUP($C94,DATOS!$A$1:$O$1101,9,FALSE)</f>
        <v>-3663284</v>
      </c>
      <c r="L94" s="68">
        <f>VLOOKUP($C94,DATOS!$A$1:$O$1101,10,FALSE)</f>
        <v>202453296</v>
      </c>
      <c r="M94" s="69">
        <f t="shared" si="157"/>
        <v>0.87562108182704734</v>
      </c>
      <c r="N94" s="68">
        <f>VLOOKUP($C94,DATOS!$A$1:$O$1101,12,FALSE)</f>
        <v>0</v>
      </c>
      <c r="O94" s="68">
        <f>VLOOKUP($C94,DATOS!$A$1:$O$1101,13,FALSE)</f>
        <v>188568755</v>
      </c>
      <c r="P94" s="69">
        <f t="shared" si="158"/>
        <v>0.81556971664160727</v>
      </c>
      <c r="Q94" s="72">
        <f t="shared" si="218"/>
        <v>202453296</v>
      </c>
      <c r="R94" s="72">
        <f t="shared" ref="R94" si="222">AG94</f>
        <v>206116580</v>
      </c>
      <c r="S94" s="97">
        <v>-3663284</v>
      </c>
      <c r="T94" s="72">
        <f t="shared" ref="T94" si="223">+Q94-L94</f>
        <v>0</v>
      </c>
      <c r="U94" s="72">
        <f t="shared" si="219"/>
        <v>0</v>
      </c>
      <c r="V94" s="72">
        <f t="shared" ref="V94" si="224">SUM(W94:X94)</f>
        <v>202453296</v>
      </c>
      <c r="W94" s="72">
        <f t="shared" ref="W94" si="225">AH94</f>
        <v>206116580</v>
      </c>
      <c r="X94" s="97">
        <v>-3663284</v>
      </c>
      <c r="Y94" s="72">
        <f t="shared" ref="Y94" si="226">+L94-V94</f>
        <v>0</v>
      </c>
      <c r="Z94" s="72">
        <f t="shared" si="220"/>
        <v>188568755</v>
      </c>
      <c r="AA94" s="72">
        <f t="shared" ref="AA94" si="227">AI94</f>
        <v>188568755</v>
      </c>
      <c r="AB94" s="97">
        <v>0</v>
      </c>
      <c r="AC94" s="72">
        <f t="shared" ref="AC94" si="228">+O94-Z94</f>
        <v>0</v>
      </c>
      <c r="AD94" s="72">
        <f t="shared" si="221"/>
        <v>13884541</v>
      </c>
      <c r="AE94" s="29">
        <f t="shared" ref="AE94" si="229">LEN(C94)</f>
        <v>25</v>
      </c>
      <c r="AG94" s="176">
        <v>206116580</v>
      </c>
      <c r="AH94" s="176">
        <v>206116580</v>
      </c>
      <c r="AI94" s="176">
        <v>188568755</v>
      </c>
      <c r="AK94" s="168">
        <f t="shared" si="159"/>
        <v>0</v>
      </c>
      <c r="AL94" s="178"/>
    </row>
    <row r="95" spans="1:38" s="22" customFormat="1" hidden="1" x14ac:dyDescent="0.2">
      <c r="A95" s="165"/>
      <c r="B95" s="165" t="str">
        <f t="shared" si="155"/>
        <v>INVERSION</v>
      </c>
      <c r="C95" s="59" t="s">
        <v>262</v>
      </c>
      <c r="D95" s="57" t="s">
        <v>263</v>
      </c>
      <c r="E95" s="60">
        <f>E96</f>
        <v>8425000000</v>
      </c>
      <c r="F95" s="60">
        <f t="shared" ref="F95:AD96" si="230">F96</f>
        <v>0</v>
      </c>
      <c r="G95" s="60">
        <f t="shared" si="230"/>
        <v>-1551777023</v>
      </c>
      <c r="H95" s="60">
        <f t="shared" si="171"/>
        <v>6873222977</v>
      </c>
      <c r="I95" s="60">
        <f t="shared" si="230"/>
        <v>0</v>
      </c>
      <c r="J95" s="60">
        <f t="shared" si="172"/>
        <v>6873222977</v>
      </c>
      <c r="K95" s="60">
        <f t="shared" si="230"/>
        <v>1223792362</v>
      </c>
      <c r="L95" s="60">
        <f t="shared" si="230"/>
        <v>5415824910</v>
      </c>
      <c r="M95" s="61">
        <f t="shared" si="157"/>
        <v>0.787960019356724</v>
      </c>
      <c r="N95" s="60">
        <f t="shared" si="230"/>
        <v>617491944</v>
      </c>
      <c r="O95" s="60">
        <f t="shared" si="230"/>
        <v>3161007602</v>
      </c>
      <c r="P95" s="61">
        <f t="shared" si="158"/>
        <v>0.45990179753774052</v>
      </c>
      <c r="Q95" s="60">
        <f t="shared" si="230"/>
        <v>5415824910</v>
      </c>
      <c r="R95" s="60">
        <f t="shared" si="230"/>
        <v>6473245276</v>
      </c>
      <c r="S95" s="60">
        <f t="shared" si="230"/>
        <v>-1057420366</v>
      </c>
      <c r="T95" s="60">
        <f t="shared" si="230"/>
        <v>0</v>
      </c>
      <c r="U95" s="60">
        <f t="shared" si="230"/>
        <v>0</v>
      </c>
      <c r="V95" s="60">
        <f t="shared" si="230"/>
        <v>5415824910</v>
      </c>
      <c r="W95" s="60">
        <f t="shared" si="230"/>
        <v>4192032548</v>
      </c>
      <c r="X95" s="60">
        <f t="shared" si="230"/>
        <v>1223792362</v>
      </c>
      <c r="Y95" s="60">
        <f t="shared" si="230"/>
        <v>0</v>
      </c>
      <c r="Z95" s="60">
        <f t="shared" si="230"/>
        <v>3161007602</v>
      </c>
      <c r="AA95" s="60">
        <f t="shared" si="230"/>
        <v>2543515658</v>
      </c>
      <c r="AB95" s="60">
        <f t="shared" si="230"/>
        <v>617491944</v>
      </c>
      <c r="AC95" s="60">
        <f t="shared" si="230"/>
        <v>0</v>
      </c>
      <c r="AD95" s="60">
        <f t="shared" si="230"/>
        <v>2254817308</v>
      </c>
      <c r="AE95" s="29">
        <f t="shared" si="168"/>
        <v>9</v>
      </c>
      <c r="AG95" s="29">
        <v>6473245276</v>
      </c>
      <c r="AH95" s="29">
        <v>4192032548</v>
      </c>
      <c r="AI95" s="29">
        <v>2543515658</v>
      </c>
      <c r="AK95" s="168">
        <f t="shared" si="159"/>
        <v>1</v>
      </c>
      <c r="AL95" s="168"/>
    </row>
    <row r="96" spans="1:38" s="22" customFormat="1" hidden="1" x14ac:dyDescent="0.2">
      <c r="A96" s="165"/>
      <c r="B96" s="165" t="str">
        <f t="shared" si="155"/>
        <v>INVERSION</v>
      </c>
      <c r="C96" s="59" t="s">
        <v>264</v>
      </c>
      <c r="D96" s="57" t="s">
        <v>265</v>
      </c>
      <c r="E96" s="60">
        <f>E97</f>
        <v>8425000000</v>
      </c>
      <c r="F96" s="60">
        <f t="shared" si="230"/>
        <v>0</v>
      </c>
      <c r="G96" s="60">
        <f t="shared" si="230"/>
        <v>-1551777023</v>
      </c>
      <c r="H96" s="60">
        <f t="shared" si="171"/>
        <v>6873222977</v>
      </c>
      <c r="I96" s="60">
        <f t="shared" si="230"/>
        <v>0</v>
      </c>
      <c r="J96" s="60">
        <f t="shared" si="172"/>
        <v>6873222977</v>
      </c>
      <c r="K96" s="60">
        <f t="shared" si="230"/>
        <v>1223792362</v>
      </c>
      <c r="L96" s="60">
        <f t="shared" si="230"/>
        <v>5415824910</v>
      </c>
      <c r="M96" s="61">
        <f t="shared" si="157"/>
        <v>0.787960019356724</v>
      </c>
      <c r="N96" s="60">
        <f t="shared" si="230"/>
        <v>617491944</v>
      </c>
      <c r="O96" s="60">
        <f t="shared" si="230"/>
        <v>3161007602</v>
      </c>
      <c r="P96" s="61">
        <f t="shared" si="158"/>
        <v>0.45990179753774052</v>
      </c>
      <c r="Q96" s="60">
        <f t="shared" si="230"/>
        <v>5415824910</v>
      </c>
      <c r="R96" s="60">
        <f t="shared" si="230"/>
        <v>6473245276</v>
      </c>
      <c r="S96" s="60">
        <f t="shared" si="230"/>
        <v>-1057420366</v>
      </c>
      <c r="T96" s="60">
        <f t="shared" si="230"/>
        <v>0</v>
      </c>
      <c r="U96" s="60">
        <f t="shared" si="230"/>
        <v>0</v>
      </c>
      <c r="V96" s="60">
        <f t="shared" si="230"/>
        <v>5415824910</v>
      </c>
      <c r="W96" s="60">
        <f t="shared" si="230"/>
        <v>4192032548</v>
      </c>
      <c r="X96" s="60">
        <f t="shared" si="230"/>
        <v>1223792362</v>
      </c>
      <c r="Y96" s="60">
        <f t="shared" si="230"/>
        <v>0</v>
      </c>
      <c r="Z96" s="60">
        <f t="shared" si="230"/>
        <v>3161007602</v>
      </c>
      <c r="AA96" s="60">
        <f t="shared" si="230"/>
        <v>2543515658</v>
      </c>
      <c r="AB96" s="60">
        <f t="shared" si="230"/>
        <v>617491944</v>
      </c>
      <c r="AC96" s="60">
        <f t="shared" si="230"/>
        <v>0</v>
      </c>
      <c r="AD96" s="60">
        <f t="shared" si="230"/>
        <v>2254817308</v>
      </c>
      <c r="AE96" s="29">
        <f t="shared" si="168"/>
        <v>11</v>
      </c>
      <c r="AG96" s="29">
        <v>6473245276</v>
      </c>
      <c r="AH96" s="29">
        <v>4192032548</v>
      </c>
      <c r="AI96" s="29">
        <v>2543515658</v>
      </c>
      <c r="AK96" s="168">
        <f t="shared" si="159"/>
        <v>1</v>
      </c>
      <c r="AL96" s="168"/>
    </row>
    <row r="97" spans="1:38" s="166" customFormat="1" hidden="1" x14ac:dyDescent="0.2">
      <c r="A97" s="165"/>
      <c r="B97" s="165" t="str">
        <f t="shared" si="155"/>
        <v>INVERSION</v>
      </c>
      <c r="C97" s="59" t="s">
        <v>266</v>
      </c>
      <c r="D97" s="57" t="s">
        <v>267</v>
      </c>
      <c r="E97" s="60">
        <f>SUM(E98:E99)</f>
        <v>8425000000</v>
      </c>
      <c r="F97" s="60">
        <f t="shared" ref="F97:AD97" si="231">SUM(F98:F99)</f>
        <v>0</v>
      </c>
      <c r="G97" s="60">
        <f t="shared" si="231"/>
        <v>-1551777023</v>
      </c>
      <c r="H97" s="60">
        <f t="shared" si="231"/>
        <v>6873222977</v>
      </c>
      <c r="I97" s="60">
        <f t="shared" si="231"/>
        <v>0</v>
      </c>
      <c r="J97" s="60">
        <f t="shared" si="231"/>
        <v>6873222977</v>
      </c>
      <c r="K97" s="60">
        <f t="shared" si="231"/>
        <v>1223792362</v>
      </c>
      <c r="L97" s="60">
        <f t="shared" si="231"/>
        <v>5415824910</v>
      </c>
      <c r="M97" s="61">
        <f t="shared" si="157"/>
        <v>0.787960019356724</v>
      </c>
      <c r="N97" s="60">
        <f t="shared" si="231"/>
        <v>617491944</v>
      </c>
      <c r="O97" s="60">
        <f t="shared" si="231"/>
        <v>3161007602</v>
      </c>
      <c r="P97" s="61">
        <f t="shared" si="158"/>
        <v>0.45990179753774052</v>
      </c>
      <c r="Q97" s="84">
        <f t="shared" si="231"/>
        <v>5415824910</v>
      </c>
      <c r="R97" s="84">
        <f t="shared" si="231"/>
        <v>6473245276</v>
      </c>
      <c r="S97" s="179">
        <f t="shared" si="231"/>
        <v>-1057420366</v>
      </c>
      <c r="T97" s="84">
        <f t="shared" si="231"/>
        <v>0</v>
      </c>
      <c r="U97" s="84">
        <f t="shared" si="231"/>
        <v>0</v>
      </c>
      <c r="V97" s="84">
        <f t="shared" si="231"/>
        <v>5415824910</v>
      </c>
      <c r="W97" s="84">
        <f t="shared" si="231"/>
        <v>4192032548</v>
      </c>
      <c r="X97" s="179">
        <f t="shared" si="231"/>
        <v>1223792362</v>
      </c>
      <c r="Y97" s="84">
        <f t="shared" si="231"/>
        <v>0</v>
      </c>
      <c r="Z97" s="84">
        <f t="shared" si="231"/>
        <v>3161007602</v>
      </c>
      <c r="AA97" s="84">
        <f t="shared" si="231"/>
        <v>2543515658</v>
      </c>
      <c r="AB97" s="179">
        <f t="shared" si="231"/>
        <v>617491944</v>
      </c>
      <c r="AC97" s="84">
        <f t="shared" si="231"/>
        <v>0</v>
      </c>
      <c r="AD97" s="84">
        <f t="shared" si="231"/>
        <v>2254817308</v>
      </c>
      <c r="AE97" s="180">
        <f t="shared" si="168"/>
        <v>24</v>
      </c>
      <c r="AG97" s="29">
        <v>6473245276</v>
      </c>
      <c r="AH97" s="29">
        <v>4192032548</v>
      </c>
      <c r="AI97" s="29">
        <v>2543515658</v>
      </c>
      <c r="AK97" s="168">
        <f t="shared" si="159"/>
        <v>1</v>
      </c>
      <c r="AL97" s="168"/>
    </row>
    <row r="98" spans="1:38" s="166" customFormat="1" x14ac:dyDescent="0.2">
      <c r="A98" s="77" t="s">
        <v>111</v>
      </c>
      <c r="B98" s="77" t="str">
        <f t="shared" si="155"/>
        <v>INVERSION</v>
      </c>
      <c r="C98" s="78" t="s">
        <v>281</v>
      </c>
      <c r="D98" s="83" t="s">
        <v>282</v>
      </c>
      <c r="E98" s="79">
        <f>VLOOKUP($C98,DATOS!$A$1:$O$1101,3,FALSE)</f>
        <v>4925000000</v>
      </c>
      <c r="F98" s="191">
        <f>VLOOKUP($C98,DATOS!$A$1:$O$1101,4,FALSE)</f>
        <v>0</v>
      </c>
      <c r="G98" s="79">
        <f>VLOOKUP($C98,DATOS!$A$1:$O$1101,5,FALSE)</f>
        <v>434778210</v>
      </c>
      <c r="H98" s="79">
        <f t="shared" ref="H98:H99" si="232">E98+G98</f>
        <v>5359778210</v>
      </c>
      <c r="I98" s="79">
        <f>VLOOKUP($C98,DATOS!$A$1:$O$1101,7,FALSE)</f>
        <v>0</v>
      </c>
      <c r="J98" s="79">
        <f t="shared" ref="J98:J99" si="233">H98-I98</f>
        <v>5359778210</v>
      </c>
      <c r="K98" s="79">
        <f>VLOOKUP($C98,DATOS!$A$1:$O$1101,9,FALSE)</f>
        <v>1223792362</v>
      </c>
      <c r="L98" s="79">
        <f>VLOOKUP($C98,DATOS!$A$1:$O$1101,10,FALSE)</f>
        <v>3902380143</v>
      </c>
      <c r="M98" s="80">
        <f t="shared" si="157"/>
        <v>0.7280861241084825</v>
      </c>
      <c r="N98" s="79">
        <f>VLOOKUP($C98,DATOS!$A$1:$O$1101,12,FALSE)</f>
        <v>261772607</v>
      </c>
      <c r="O98" s="79">
        <f>VLOOKUP($C98,DATOS!$A$1:$O$1101,13,FALSE)</f>
        <v>2157344816</v>
      </c>
      <c r="P98" s="80">
        <f t="shared" si="158"/>
        <v>0.4025063596801331</v>
      </c>
      <c r="Q98" s="85">
        <f t="shared" ref="Q98:Q99" si="234">SUM(R98:S98)</f>
        <v>3902380143</v>
      </c>
      <c r="R98" s="85">
        <f>AG98</f>
        <v>4959800509</v>
      </c>
      <c r="S98" s="97">
        <v>-1057420366</v>
      </c>
      <c r="T98" s="85">
        <f>+Q98-L98</f>
        <v>0</v>
      </c>
      <c r="U98" s="85">
        <f t="shared" ref="U98:U99" si="235">+V98-L98</f>
        <v>0</v>
      </c>
      <c r="V98" s="85">
        <f>SUM(W98:X98)</f>
        <v>3902380143</v>
      </c>
      <c r="W98" s="85">
        <f>AH98</f>
        <v>2678587781</v>
      </c>
      <c r="X98" s="97">
        <v>1223792362</v>
      </c>
      <c r="Y98" s="85">
        <f>+L98-V98</f>
        <v>0</v>
      </c>
      <c r="Z98" s="85">
        <f t="shared" ref="Z98:Z99" si="236">SUM(AA98:AB98)</f>
        <v>2157344816</v>
      </c>
      <c r="AA98" s="85">
        <f>AI98</f>
        <v>1895572209</v>
      </c>
      <c r="AB98" s="97">
        <v>261772607</v>
      </c>
      <c r="AC98" s="85">
        <f>+O98-Z98</f>
        <v>0</v>
      </c>
      <c r="AD98" s="85">
        <f t="shared" ref="AD98:AD99" si="237">+L98-O98</f>
        <v>1745035327</v>
      </c>
      <c r="AE98" s="29"/>
      <c r="AG98" s="29">
        <v>4959800509</v>
      </c>
      <c r="AH98" s="29">
        <v>2678587781</v>
      </c>
      <c r="AI98" s="29">
        <v>1895572209</v>
      </c>
      <c r="AK98" s="168">
        <f t="shared" si="159"/>
        <v>1</v>
      </c>
      <c r="AL98" s="168"/>
    </row>
    <row r="99" spans="1:38" s="177" customFormat="1" x14ac:dyDescent="0.2">
      <c r="A99" s="66" t="s">
        <v>112</v>
      </c>
      <c r="B99" s="66" t="str">
        <f t="shared" si="155"/>
        <v>INVERSION</v>
      </c>
      <c r="C99" s="67" t="s">
        <v>283</v>
      </c>
      <c r="D99" s="71" t="s">
        <v>284</v>
      </c>
      <c r="E99" s="68">
        <f>VLOOKUP($C99,DATOS!$A$1:$O$1101,3,FALSE)</f>
        <v>3500000000</v>
      </c>
      <c r="F99" s="192">
        <f>VLOOKUP($C99,DATOS!$A$1:$O$1101,4,FALSE)</f>
        <v>0</v>
      </c>
      <c r="G99" s="68">
        <f>VLOOKUP($C99,DATOS!$A$1:$O$1101,5,FALSE)</f>
        <v>-1986555233</v>
      </c>
      <c r="H99" s="68">
        <f t="shared" si="232"/>
        <v>1513444767</v>
      </c>
      <c r="I99" s="68">
        <f>VLOOKUP($C99,DATOS!$A$1:$O$1101,7,FALSE)</f>
        <v>0</v>
      </c>
      <c r="J99" s="68">
        <f t="shared" si="233"/>
        <v>1513444767</v>
      </c>
      <c r="K99" s="68">
        <f>VLOOKUP($C99,DATOS!$A$1:$O$1101,9,FALSE)</f>
        <v>0</v>
      </c>
      <c r="L99" s="68">
        <f>VLOOKUP($C99,DATOS!$A$1:$O$1101,10,FALSE)</f>
        <v>1513444767</v>
      </c>
      <c r="M99" s="69">
        <f t="shared" si="157"/>
        <v>1</v>
      </c>
      <c r="N99" s="68">
        <f>VLOOKUP($C99,DATOS!$A$1:$O$1101,12,FALSE)</f>
        <v>355719337</v>
      </c>
      <c r="O99" s="68">
        <f>VLOOKUP($C99,DATOS!$A$1:$O$1101,13,FALSE)</f>
        <v>1003662786</v>
      </c>
      <c r="P99" s="69">
        <f t="shared" si="158"/>
        <v>0.66316446287596831</v>
      </c>
      <c r="Q99" s="72">
        <f t="shared" si="234"/>
        <v>1513444767</v>
      </c>
      <c r="R99" s="72">
        <f t="shared" ref="R99" si="238">AG99</f>
        <v>1513444767</v>
      </c>
      <c r="S99" s="97">
        <v>0</v>
      </c>
      <c r="T99" s="72">
        <f t="shared" ref="T99" si="239">+Q99-L99</f>
        <v>0</v>
      </c>
      <c r="U99" s="72">
        <f t="shared" si="235"/>
        <v>0</v>
      </c>
      <c r="V99" s="72">
        <f t="shared" ref="V99" si="240">SUM(W99:X99)</f>
        <v>1513444767</v>
      </c>
      <c r="W99" s="72">
        <f t="shared" ref="W99" si="241">AH99</f>
        <v>1513444767</v>
      </c>
      <c r="X99" s="97">
        <v>0</v>
      </c>
      <c r="Y99" s="72">
        <f t="shared" ref="Y99" si="242">+L99-V99</f>
        <v>0</v>
      </c>
      <c r="Z99" s="72">
        <f t="shared" si="236"/>
        <v>1003662786</v>
      </c>
      <c r="AA99" s="72">
        <f t="shared" ref="AA99" si="243">AI99</f>
        <v>647943449</v>
      </c>
      <c r="AB99" s="97">
        <v>355719337</v>
      </c>
      <c r="AC99" s="72">
        <f t="shared" ref="AC99" si="244">+O99-Z99</f>
        <v>0</v>
      </c>
      <c r="AD99" s="72">
        <f t="shared" si="237"/>
        <v>509781981</v>
      </c>
      <c r="AE99" s="29">
        <f t="shared" ref="AE99" si="245">LEN(C99)</f>
        <v>25</v>
      </c>
      <c r="AG99" s="176">
        <v>1513444767</v>
      </c>
      <c r="AH99" s="176">
        <v>1513444767</v>
      </c>
      <c r="AI99" s="176">
        <v>647943449</v>
      </c>
      <c r="AK99" s="168">
        <f t="shared" si="159"/>
        <v>1</v>
      </c>
      <c r="AL99" s="178"/>
    </row>
    <row r="100" spans="1:38" s="22" customFormat="1" hidden="1" x14ac:dyDescent="0.2">
      <c r="A100" s="75"/>
      <c r="B100" s="75" t="str">
        <f t="shared" si="155"/>
        <v>COMERCIAL</v>
      </c>
      <c r="C100" s="59" t="s">
        <v>93</v>
      </c>
      <c r="D100" s="57" t="s">
        <v>94</v>
      </c>
      <c r="E100" s="60">
        <f>E101</f>
        <v>307200645000</v>
      </c>
      <c r="F100" s="60">
        <f t="shared" ref="F100:AD100" si="246">F101</f>
        <v>0</v>
      </c>
      <c r="G100" s="60">
        <f t="shared" si="246"/>
        <v>-47744786676</v>
      </c>
      <c r="H100" s="60">
        <f t="shared" si="246"/>
        <v>259455858324</v>
      </c>
      <c r="I100" s="60">
        <f t="shared" si="246"/>
        <v>0</v>
      </c>
      <c r="J100" s="60">
        <f t="shared" si="246"/>
        <v>259455858324</v>
      </c>
      <c r="K100" s="60">
        <f t="shared" si="246"/>
        <v>14710752649</v>
      </c>
      <c r="L100" s="60">
        <f t="shared" si="246"/>
        <v>99725671197</v>
      </c>
      <c r="M100" s="61">
        <f t="shared" si="157"/>
        <v>0.38436469248062166</v>
      </c>
      <c r="N100" s="60">
        <f t="shared" si="246"/>
        <v>8879876659</v>
      </c>
      <c r="O100" s="60">
        <f t="shared" si="246"/>
        <v>60524256230</v>
      </c>
      <c r="P100" s="61">
        <f t="shared" si="158"/>
        <v>0.23327380858141691</v>
      </c>
      <c r="Q100" s="60">
        <f t="shared" si="246"/>
        <v>99725671197</v>
      </c>
      <c r="R100" s="60">
        <f t="shared" si="246"/>
        <v>105966897308</v>
      </c>
      <c r="S100" s="60">
        <f t="shared" si="246"/>
        <v>-6241226111</v>
      </c>
      <c r="T100" s="60">
        <f t="shared" si="246"/>
        <v>0</v>
      </c>
      <c r="U100" s="60">
        <f t="shared" si="246"/>
        <v>0</v>
      </c>
      <c r="V100" s="60">
        <f t="shared" si="246"/>
        <v>99725671197</v>
      </c>
      <c r="W100" s="60">
        <f t="shared" si="246"/>
        <v>85014918548</v>
      </c>
      <c r="X100" s="60">
        <f t="shared" si="246"/>
        <v>14710752649</v>
      </c>
      <c r="Y100" s="60">
        <f t="shared" si="246"/>
        <v>0</v>
      </c>
      <c r="Z100" s="60">
        <f t="shared" si="246"/>
        <v>60524256230</v>
      </c>
      <c r="AA100" s="60">
        <f t="shared" si="246"/>
        <v>51644379571</v>
      </c>
      <c r="AB100" s="60">
        <f t="shared" si="246"/>
        <v>8879876659</v>
      </c>
      <c r="AC100" s="60">
        <f t="shared" si="246"/>
        <v>0</v>
      </c>
      <c r="AD100" s="60">
        <f t="shared" si="246"/>
        <v>39201414967</v>
      </c>
      <c r="AE100" s="29">
        <f t="shared" si="168"/>
        <v>3</v>
      </c>
      <c r="AG100" s="29">
        <v>105966897308</v>
      </c>
      <c r="AH100" s="29">
        <v>85014918548</v>
      </c>
      <c r="AI100" s="29">
        <v>51644379571</v>
      </c>
      <c r="AK100" s="168">
        <f t="shared" si="159"/>
        <v>1</v>
      </c>
      <c r="AL100" s="168"/>
    </row>
    <row r="101" spans="1:38" s="22" customFormat="1" hidden="1" x14ac:dyDescent="0.2">
      <c r="A101" s="75"/>
      <c r="B101" s="75" t="str">
        <f t="shared" si="155"/>
        <v>COMERCIAL</v>
      </c>
      <c r="C101" s="59" t="s">
        <v>95</v>
      </c>
      <c r="D101" s="57" t="s">
        <v>103</v>
      </c>
      <c r="E101" s="60">
        <f>SUM(E102,E106)</f>
        <v>307200645000</v>
      </c>
      <c r="F101" s="60">
        <f t="shared" ref="F101:O101" si="247">SUM(F102,F106)</f>
        <v>0</v>
      </c>
      <c r="G101" s="60">
        <f t="shared" si="247"/>
        <v>-47744786676</v>
      </c>
      <c r="H101" s="60">
        <f t="shared" si="171"/>
        <v>259455858324</v>
      </c>
      <c r="I101" s="60">
        <f t="shared" si="247"/>
        <v>0</v>
      </c>
      <c r="J101" s="60">
        <f t="shared" si="172"/>
        <v>259455858324</v>
      </c>
      <c r="K101" s="60">
        <f t="shared" si="247"/>
        <v>14710752649</v>
      </c>
      <c r="L101" s="60">
        <f t="shared" si="247"/>
        <v>99725671197</v>
      </c>
      <c r="M101" s="61">
        <f t="shared" si="157"/>
        <v>0.38436469248062166</v>
      </c>
      <c r="N101" s="60">
        <f t="shared" si="247"/>
        <v>8879876659</v>
      </c>
      <c r="O101" s="60">
        <f t="shared" si="247"/>
        <v>60524256230</v>
      </c>
      <c r="P101" s="61">
        <f t="shared" si="158"/>
        <v>0.23327380858141691</v>
      </c>
      <c r="Q101" s="84">
        <f t="shared" si="173"/>
        <v>99725671197</v>
      </c>
      <c r="R101" s="84">
        <f>SUM(R102,R106)</f>
        <v>105966897308</v>
      </c>
      <c r="S101" s="84">
        <f>SUM(S102,S106)</f>
        <v>-6241226111</v>
      </c>
      <c r="T101" s="84">
        <f>+Q101-L101</f>
        <v>0</v>
      </c>
      <c r="U101" s="84">
        <f>+V101-L101</f>
        <v>0</v>
      </c>
      <c r="V101" s="84">
        <f>SUM(W101:X101)</f>
        <v>99725671197</v>
      </c>
      <c r="W101" s="84">
        <f>SUM(W102,W106)</f>
        <v>85014918548</v>
      </c>
      <c r="X101" s="84">
        <f>SUM(X102,X106)</f>
        <v>14710752649</v>
      </c>
      <c r="Y101" s="84">
        <f t="shared" si="176"/>
        <v>0</v>
      </c>
      <c r="Z101" s="84">
        <f t="shared" si="177"/>
        <v>60524256230</v>
      </c>
      <c r="AA101" s="84">
        <f>SUM(AA102,AA106)</f>
        <v>51644379571</v>
      </c>
      <c r="AB101" s="84">
        <f>SUM(AB102,AB106)</f>
        <v>8879876659</v>
      </c>
      <c r="AC101" s="84">
        <f t="shared" si="178"/>
        <v>0</v>
      </c>
      <c r="AD101" s="84">
        <f>+L101-O101</f>
        <v>39201414967</v>
      </c>
      <c r="AE101" s="29">
        <f t="shared" si="168"/>
        <v>4</v>
      </c>
      <c r="AG101" s="29">
        <v>105966897308</v>
      </c>
      <c r="AH101" s="29">
        <v>85014918548</v>
      </c>
      <c r="AI101" s="29">
        <v>51644379571</v>
      </c>
      <c r="AK101" s="168">
        <f t="shared" si="159"/>
        <v>1</v>
      </c>
      <c r="AL101" s="168"/>
    </row>
    <row r="102" spans="1:38" s="22" customFormat="1" hidden="1" x14ac:dyDescent="0.2">
      <c r="A102" s="75"/>
      <c r="B102" s="75" t="str">
        <f t="shared" si="155"/>
        <v>COMERCIAL</v>
      </c>
      <c r="C102" s="59" t="s">
        <v>179</v>
      </c>
      <c r="D102" s="57" t="s">
        <v>180</v>
      </c>
      <c r="E102" s="60">
        <f>SUM(E103:E105)</f>
        <v>1000000</v>
      </c>
      <c r="F102" s="60">
        <f>SUM(F103:F105)</f>
        <v>0</v>
      </c>
      <c r="G102" s="60">
        <f>SUM(G103:G105)</f>
        <v>-1000000</v>
      </c>
      <c r="H102" s="60">
        <f t="shared" si="171"/>
        <v>0</v>
      </c>
      <c r="I102" s="60">
        <f>SUM(I103:I105)</f>
        <v>0</v>
      </c>
      <c r="J102" s="60">
        <f t="shared" si="172"/>
        <v>0</v>
      </c>
      <c r="K102" s="60">
        <f>SUM(K103:K105)</f>
        <v>0</v>
      </c>
      <c r="L102" s="60">
        <f>SUM(L103:L105)</f>
        <v>0</v>
      </c>
      <c r="M102" s="61">
        <f t="shared" si="157"/>
        <v>0</v>
      </c>
      <c r="N102" s="60">
        <f>SUM(N103:N105)</f>
        <v>0</v>
      </c>
      <c r="O102" s="60">
        <f>SUM(O103:O105)</f>
        <v>0</v>
      </c>
      <c r="P102" s="61">
        <f t="shared" si="158"/>
        <v>0</v>
      </c>
      <c r="Q102" s="84">
        <f t="shared" ref="Q102:T102" si="248">SUM(Q103:Q104)</f>
        <v>0</v>
      </c>
      <c r="R102" s="84">
        <f>SUM(R103:R105)</f>
        <v>0</v>
      </c>
      <c r="S102" s="84">
        <f>SUM(S103:S105)</f>
        <v>0</v>
      </c>
      <c r="T102" s="84">
        <f t="shared" si="248"/>
        <v>0</v>
      </c>
      <c r="U102" s="84">
        <f t="shared" ref="U102:AD102" si="249">SUM(U103:U105)</f>
        <v>0</v>
      </c>
      <c r="V102" s="84">
        <f t="shared" si="249"/>
        <v>0</v>
      </c>
      <c r="W102" s="84">
        <f t="shared" si="249"/>
        <v>0</v>
      </c>
      <c r="X102" s="84">
        <f t="shared" si="249"/>
        <v>0</v>
      </c>
      <c r="Y102" s="84">
        <f t="shared" si="249"/>
        <v>0</v>
      </c>
      <c r="Z102" s="84">
        <f t="shared" si="249"/>
        <v>0</v>
      </c>
      <c r="AA102" s="84">
        <f t="shared" si="249"/>
        <v>0</v>
      </c>
      <c r="AB102" s="84">
        <f t="shared" si="249"/>
        <v>0</v>
      </c>
      <c r="AC102" s="84">
        <f t="shared" si="249"/>
        <v>0</v>
      </c>
      <c r="AD102" s="84">
        <f t="shared" si="249"/>
        <v>0</v>
      </c>
      <c r="AE102" s="29">
        <f t="shared" si="168"/>
        <v>6</v>
      </c>
      <c r="AG102" s="29">
        <v>0</v>
      </c>
      <c r="AH102" s="29">
        <v>0</v>
      </c>
      <c r="AI102" s="29">
        <v>0</v>
      </c>
      <c r="AK102" s="168">
        <f t="shared" si="159"/>
        <v>0</v>
      </c>
      <c r="AL102" s="168"/>
    </row>
    <row r="103" spans="1:38" s="22" customFormat="1" x14ac:dyDescent="0.2">
      <c r="A103" s="77" t="s">
        <v>111</v>
      </c>
      <c r="B103" s="77" t="str">
        <f t="shared" si="155"/>
        <v>COMERCIAL</v>
      </c>
      <c r="C103" s="78" t="s">
        <v>181</v>
      </c>
      <c r="D103" s="83" t="s">
        <v>182</v>
      </c>
      <c r="E103" s="79">
        <f>VLOOKUP($C103,DATOS!$A$1:$O$1101,3,FALSE)</f>
        <v>0</v>
      </c>
      <c r="F103" s="191">
        <f>VLOOKUP($C103,DATOS!$A$1:$O$1101,4,FALSE)</f>
        <v>0</v>
      </c>
      <c r="G103" s="79">
        <f>VLOOKUP($C103,DATOS!$A$1:$O$1101,5,FALSE)</f>
        <v>0</v>
      </c>
      <c r="H103" s="79">
        <f t="shared" si="171"/>
        <v>0</v>
      </c>
      <c r="I103" s="79">
        <f>VLOOKUP($C103,DATOS!$A$1:$O$1101,7,FALSE)</f>
        <v>0</v>
      </c>
      <c r="J103" s="79">
        <f t="shared" si="172"/>
        <v>0</v>
      </c>
      <c r="K103" s="79">
        <f>VLOOKUP($C103,DATOS!$A$1:$O$1101,9,FALSE)</f>
        <v>0</v>
      </c>
      <c r="L103" s="79">
        <f>VLOOKUP($C103,DATOS!$A$1:$O$1101,10,FALSE)</f>
        <v>0</v>
      </c>
      <c r="M103" s="80">
        <f t="shared" si="157"/>
        <v>0</v>
      </c>
      <c r="N103" s="79">
        <f>VLOOKUP($C103,DATOS!$A$1:$O$1101,12,FALSE)</f>
        <v>0</v>
      </c>
      <c r="O103" s="79">
        <f>VLOOKUP($C103,DATOS!$A$1:$O$1101,13,FALSE)</f>
        <v>0</v>
      </c>
      <c r="P103" s="80">
        <f t="shared" si="158"/>
        <v>0</v>
      </c>
      <c r="Q103" s="85">
        <f t="shared" ref="Q103:Q105" si="250">SUM(R103:S103)</f>
        <v>0</v>
      </c>
      <c r="R103" s="85">
        <f t="shared" ref="R103:R105" si="251">AG103</f>
        <v>0</v>
      </c>
      <c r="S103" s="97">
        <v>0</v>
      </c>
      <c r="T103" s="85">
        <f t="shared" ref="T103:T105" si="252">+Q103-L103</f>
        <v>0</v>
      </c>
      <c r="U103" s="85">
        <f t="shared" ref="U103:U105" si="253">+V103-L103</f>
        <v>0</v>
      </c>
      <c r="V103" s="85">
        <f t="shared" ref="V103:V105" si="254">SUM(W103:X103)</f>
        <v>0</v>
      </c>
      <c r="W103" s="85">
        <f t="shared" ref="W103:W105" si="255">AH103</f>
        <v>0</v>
      </c>
      <c r="X103" s="97">
        <v>0</v>
      </c>
      <c r="Y103" s="85">
        <f t="shared" ref="Y103:Y105" si="256">+L103-V103</f>
        <v>0</v>
      </c>
      <c r="Z103" s="85">
        <f t="shared" ref="Z103:Z105" si="257">SUM(AA103:AB103)</f>
        <v>0</v>
      </c>
      <c r="AA103" s="85">
        <f t="shared" ref="AA103:AA105" si="258">AI103</f>
        <v>0</v>
      </c>
      <c r="AB103" s="97">
        <v>0</v>
      </c>
      <c r="AC103" s="85">
        <f t="shared" ref="AC103:AC105" si="259">+O103-Z103</f>
        <v>0</v>
      </c>
      <c r="AD103" s="85">
        <f t="shared" ref="AD103:AD105" si="260">+L103-O103</f>
        <v>0</v>
      </c>
      <c r="AE103" s="29">
        <f t="shared" ref="AE103:AE122" si="261">LEN(C103)</f>
        <v>8</v>
      </c>
      <c r="AG103" s="29">
        <v>0</v>
      </c>
      <c r="AH103" s="29">
        <v>0</v>
      </c>
      <c r="AI103" s="29">
        <v>0</v>
      </c>
      <c r="AK103" s="168">
        <f t="shared" si="159"/>
        <v>0</v>
      </c>
      <c r="AL103" s="168"/>
    </row>
    <row r="104" spans="1:38" s="22" customFormat="1" x14ac:dyDescent="0.2">
      <c r="A104" s="66" t="s">
        <v>112</v>
      </c>
      <c r="B104" s="66" t="str">
        <f t="shared" si="155"/>
        <v>COMERCIAL</v>
      </c>
      <c r="C104" s="67" t="s">
        <v>240</v>
      </c>
      <c r="D104" s="71" t="s">
        <v>241</v>
      </c>
      <c r="E104" s="68">
        <f>VLOOKUP($C104,DATOS!$A$1:$O$1101,3,FALSE)</f>
        <v>1000000</v>
      </c>
      <c r="F104" s="192">
        <f>VLOOKUP($C104,DATOS!$A$1:$O$1101,4,FALSE)</f>
        <v>0</v>
      </c>
      <c r="G104" s="68">
        <f>VLOOKUP($C104,DATOS!$A$1:$O$1101,5,FALSE)</f>
        <v>-1000000</v>
      </c>
      <c r="H104" s="130">
        <f t="shared" si="171"/>
        <v>0</v>
      </c>
      <c r="I104" s="68">
        <f>VLOOKUP($C104,DATOS!$A$1:$O$1101,7,FALSE)</f>
        <v>0</v>
      </c>
      <c r="J104" s="68">
        <f t="shared" si="172"/>
        <v>0</v>
      </c>
      <c r="K104" s="68">
        <f>VLOOKUP($C104,DATOS!$A$1:$O$1101,9,FALSE)</f>
        <v>0</v>
      </c>
      <c r="L104" s="68">
        <f>VLOOKUP($C104,DATOS!$A$1:$O$1101,10,FALSE)</f>
        <v>0</v>
      </c>
      <c r="M104" s="69">
        <f t="shared" si="157"/>
        <v>0</v>
      </c>
      <c r="N104" s="68">
        <f>VLOOKUP($C104,DATOS!$A$1:$O$1101,12,FALSE)</f>
        <v>0</v>
      </c>
      <c r="O104" s="68">
        <f>VLOOKUP($C104,DATOS!$A$1:$O$1101,13,FALSE)</f>
        <v>0</v>
      </c>
      <c r="P104" s="69">
        <f t="shared" si="158"/>
        <v>0</v>
      </c>
      <c r="Q104" s="72">
        <f t="shared" si="250"/>
        <v>0</v>
      </c>
      <c r="R104" s="72">
        <f t="shared" si="251"/>
        <v>0</v>
      </c>
      <c r="S104" s="97">
        <v>0</v>
      </c>
      <c r="T104" s="72">
        <f t="shared" si="252"/>
        <v>0</v>
      </c>
      <c r="U104" s="72">
        <f t="shared" si="253"/>
        <v>0</v>
      </c>
      <c r="V104" s="72">
        <f t="shared" si="254"/>
        <v>0</v>
      </c>
      <c r="W104" s="72">
        <f t="shared" si="255"/>
        <v>0</v>
      </c>
      <c r="X104" s="97">
        <v>0</v>
      </c>
      <c r="Y104" s="72">
        <f t="shared" si="256"/>
        <v>0</v>
      </c>
      <c r="Z104" s="72">
        <f t="shared" si="257"/>
        <v>0</v>
      </c>
      <c r="AA104" s="72">
        <f t="shared" si="258"/>
        <v>0</v>
      </c>
      <c r="AB104" s="97">
        <v>0</v>
      </c>
      <c r="AC104" s="72">
        <f t="shared" si="259"/>
        <v>0</v>
      </c>
      <c r="AD104" s="72">
        <f t="shared" si="260"/>
        <v>0</v>
      </c>
      <c r="AE104" s="29">
        <f t="shared" si="261"/>
        <v>9</v>
      </c>
      <c r="AG104" s="29">
        <v>0</v>
      </c>
      <c r="AH104" s="29">
        <v>0</v>
      </c>
      <c r="AI104" s="29">
        <v>0</v>
      </c>
      <c r="AK104" s="168">
        <f t="shared" si="159"/>
        <v>0</v>
      </c>
      <c r="AL104" s="168"/>
    </row>
    <row r="105" spans="1:38" s="22" customFormat="1" x14ac:dyDescent="0.2">
      <c r="A105" s="77" t="s">
        <v>111</v>
      </c>
      <c r="B105" s="77" t="str">
        <f t="shared" si="155"/>
        <v>COMERCIAL</v>
      </c>
      <c r="C105" s="78" t="s">
        <v>269</v>
      </c>
      <c r="D105" s="83" t="s">
        <v>268</v>
      </c>
      <c r="E105" s="79">
        <f>VLOOKUP($C105,DATOS!$A$1:$O$1101,3,FALSE)</f>
        <v>0</v>
      </c>
      <c r="F105" s="191">
        <f>VLOOKUP($C105,DATOS!$A$1:$O$1101,4,FALSE)</f>
        <v>0</v>
      </c>
      <c r="G105" s="79">
        <f>VLOOKUP($C105,DATOS!$A$1:$O$1101,5,FALSE)</f>
        <v>0</v>
      </c>
      <c r="H105" s="79">
        <f t="shared" si="171"/>
        <v>0</v>
      </c>
      <c r="I105" s="79">
        <f>VLOOKUP($C105,DATOS!$A$1:$O$1101,7,FALSE)</f>
        <v>0</v>
      </c>
      <c r="J105" s="79">
        <f t="shared" si="172"/>
        <v>0</v>
      </c>
      <c r="K105" s="79">
        <f>VLOOKUP($C105,DATOS!$A$1:$O$1101,9,FALSE)</f>
        <v>0</v>
      </c>
      <c r="L105" s="79">
        <f>VLOOKUP($C105,DATOS!$A$1:$O$1101,10,FALSE)</f>
        <v>0</v>
      </c>
      <c r="M105" s="80">
        <f t="shared" si="157"/>
        <v>0</v>
      </c>
      <c r="N105" s="79">
        <f>VLOOKUP($C105,DATOS!$A$1:$O$1101,12,FALSE)</f>
        <v>0</v>
      </c>
      <c r="O105" s="79">
        <f>VLOOKUP($C105,DATOS!$A$1:$O$1101,13,FALSE)</f>
        <v>0</v>
      </c>
      <c r="P105" s="80">
        <f t="shared" si="158"/>
        <v>0</v>
      </c>
      <c r="Q105" s="85">
        <f t="shared" si="250"/>
        <v>0</v>
      </c>
      <c r="R105" s="85">
        <f t="shared" si="251"/>
        <v>0</v>
      </c>
      <c r="S105" s="97">
        <v>0</v>
      </c>
      <c r="T105" s="85">
        <f t="shared" si="252"/>
        <v>0</v>
      </c>
      <c r="U105" s="85">
        <f t="shared" si="253"/>
        <v>0</v>
      </c>
      <c r="V105" s="85">
        <f t="shared" si="254"/>
        <v>0</v>
      </c>
      <c r="W105" s="85">
        <f t="shared" si="255"/>
        <v>0</v>
      </c>
      <c r="X105" s="97">
        <v>0</v>
      </c>
      <c r="Y105" s="85">
        <f t="shared" si="256"/>
        <v>0</v>
      </c>
      <c r="Z105" s="85">
        <f t="shared" si="257"/>
        <v>0</v>
      </c>
      <c r="AA105" s="85">
        <f t="shared" si="258"/>
        <v>0</v>
      </c>
      <c r="AB105" s="97">
        <v>0</v>
      </c>
      <c r="AC105" s="85">
        <f t="shared" si="259"/>
        <v>0</v>
      </c>
      <c r="AD105" s="85">
        <f t="shared" si="260"/>
        <v>0</v>
      </c>
      <c r="AE105" s="29">
        <f t="shared" si="261"/>
        <v>8</v>
      </c>
      <c r="AG105" s="29">
        <v>0</v>
      </c>
      <c r="AH105" s="29">
        <v>0</v>
      </c>
      <c r="AI105" s="29">
        <v>0</v>
      </c>
      <c r="AK105" s="168">
        <f t="shared" si="159"/>
        <v>0</v>
      </c>
      <c r="AL105" s="168"/>
    </row>
    <row r="106" spans="1:38" s="22" customFormat="1" hidden="1" x14ac:dyDescent="0.2">
      <c r="A106" s="75"/>
      <c r="B106" s="75" t="str">
        <f t="shared" si="155"/>
        <v>COMERCIAL</v>
      </c>
      <c r="C106" s="59" t="s">
        <v>90</v>
      </c>
      <c r="D106" s="57" t="s">
        <v>61</v>
      </c>
      <c r="E106" s="60">
        <f t="shared" ref="E106:L106" si="262">SUM(E107,E110,E113,E116,E119)</f>
        <v>307199645000</v>
      </c>
      <c r="F106" s="60">
        <f t="shared" si="262"/>
        <v>0</v>
      </c>
      <c r="G106" s="60">
        <f t="shared" si="262"/>
        <v>-47743786676</v>
      </c>
      <c r="H106" s="60">
        <f t="shared" si="262"/>
        <v>259455858324</v>
      </c>
      <c r="I106" s="60">
        <f t="shared" si="262"/>
        <v>0</v>
      </c>
      <c r="J106" s="60">
        <f t="shared" si="262"/>
        <v>259455858324</v>
      </c>
      <c r="K106" s="60">
        <f t="shared" si="262"/>
        <v>14710752649</v>
      </c>
      <c r="L106" s="60">
        <f t="shared" si="262"/>
        <v>99725671197</v>
      </c>
      <c r="M106" s="61">
        <f t="shared" si="157"/>
        <v>0.38436469248062166</v>
      </c>
      <c r="N106" s="60">
        <f>SUM(N107,N110,N113,N116,N119)</f>
        <v>8879876659</v>
      </c>
      <c r="O106" s="60">
        <f>SUM(O107,O110,O113,O116,O119)</f>
        <v>60524256230</v>
      </c>
      <c r="P106" s="61">
        <f t="shared" si="158"/>
        <v>0.23327380858141691</v>
      </c>
      <c r="Q106" s="84">
        <f t="shared" ref="Q106:AD106" si="263">SUM(Q107,Q110,Q113,Q116,Q119)</f>
        <v>99725671197</v>
      </c>
      <c r="R106" s="84">
        <f t="shared" si="263"/>
        <v>105966897308</v>
      </c>
      <c r="S106" s="84">
        <f t="shared" si="263"/>
        <v>-6241226111</v>
      </c>
      <c r="T106" s="84">
        <f t="shared" si="263"/>
        <v>0</v>
      </c>
      <c r="U106" s="84">
        <f t="shared" si="263"/>
        <v>0</v>
      </c>
      <c r="V106" s="84">
        <f t="shared" si="263"/>
        <v>99725671197</v>
      </c>
      <c r="W106" s="84">
        <f t="shared" si="263"/>
        <v>85014918548</v>
      </c>
      <c r="X106" s="84">
        <f t="shared" si="263"/>
        <v>14710752649</v>
      </c>
      <c r="Y106" s="84">
        <f t="shared" si="263"/>
        <v>0</v>
      </c>
      <c r="Z106" s="84">
        <f t="shared" si="263"/>
        <v>60524256230</v>
      </c>
      <c r="AA106" s="84">
        <f t="shared" si="263"/>
        <v>51644379571</v>
      </c>
      <c r="AB106" s="84">
        <f t="shared" si="263"/>
        <v>8879876659</v>
      </c>
      <c r="AC106" s="84">
        <f t="shared" si="263"/>
        <v>0</v>
      </c>
      <c r="AD106" s="84">
        <f t="shared" si="263"/>
        <v>39201414967</v>
      </c>
      <c r="AE106" s="29">
        <f t="shared" si="261"/>
        <v>6</v>
      </c>
      <c r="AG106" s="29">
        <v>105966897308</v>
      </c>
      <c r="AH106" s="29">
        <v>85014918548</v>
      </c>
      <c r="AI106" s="29">
        <v>51644379571</v>
      </c>
      <c r="AK106" s="168">
        <f t="shared" si="159"/>
        <v>1</v>
      </c>
      <c r="AL106" s="168"/>
    </row>
    <row r="107" spans="1:38" s="22" customFormat="1" hidden="1" x14ac:dyDescent="0.2">
      <c r="A107" s="165"/>
      <c r="B107" s="165" t="str">
        <f t="shared" si="155"/>
        <v>COMERCIAL</v>
      </c>
      <c r="C107" s="59" t="s">
        <v>183</v>
      </c>
      <c r="D107" s="57" t="s">
        <v>184</v>
      </c>
      <c r="E107" s="60">
        <f>SUM(E108:E109)</f>
        <v>36000000000</v>
      </c>
      <c r="F107" s="181">
        <f t="shared" ref="F107:AD107" si="264">SUM(F108:F109)</f>
        <v>0</v>
      </c>
      <c r="G107" s="60">
        <f t="shared" si="264"/>
        <v>44548891</v>
      </c>
      <c r="H107" s="60">
        <f t="shared" si="264"/>
        <v>36044548891</v>
      </c>
      <c r="I107" s="60">
        <f t="shared" si="264"/>
        <v>0</v>
      </c>
      <c r="J107" s="60">
        <f t="shared" si="264"/>
        <v>36044548891</v>
      </c>
      <c r="K107" s="60">
        <f t="shared" si="264"/>
        <v>0</v>
      </c>
      <c r="L107" s="60">
        <f t="shared" si="264"/>
        <v>44548891</v>
      </c>
      <c r="M107" s="61">
        <f t="shared" si="157"/>
        <v>1.2359397570688825E-3</v>
      </c>
      <c r="N107" s="60">
        <f t="shared" si="264"/>
        <v>0</v>
      </c>
      <c r="O107" s="60">
        <f t="shared" si="264"/>
        <v>44548891</v>
      </c>
      <c r="P107" s="61">
        <f t="shared" si="158"/>
        <v>1.2359397570688825E-3</v>
      </c>
      <c r="Q107" s="84">
        <f t="shared" si="264"/>
        <v>44548891</v>
      </c>
      <c r="R107" s="84">
        <f t="shared" si="264"/>
        <v>44548891</v>
      </c>
      <c r="S107" s="179">
        <f t="shared" si="264"/>
        <v>0</v>
      </c>
      <c r="T107" s="84">
        <f t="shared" si="264"/>
        <v>0</v>
      </c>
      <c r="U107" s="84">
        <f t="shared" si="264"/>
        <v>0</v>
      </c>
      <c r="V107" s="84">
        <f t="shared" si="264"/>
        <v>44548891</v>
      </c>
      <c r="W107" s="84">
        <f t="shared" si="264"/>
        <v>44548891</v>
      </c>
      <c r="X107" s="179">
        <f t="shared" si="264"/>
        <v>0</v>
      </c>
      <c r="Y107" s="84">
        <f t="shared" si="264"/>
        <v>0</v>
      </c>
      <c r="Z107" s="84">
        <f t="shared" si="264"/>
        <v>44548891</v>
      </c>
      <c r="AA107" s="84">
        <f t="shared" si="264"/>
        <v>44548891</v>
      </c>
      <c r="AB107" s="179">
        <f t="shared" si="264"/>
        <v>0</v>
      </c>
      <c r="AC107" s="84">
        <f t="shared" si="264"/>
        <v>0</v>
      </c>
      <c r="AD107" s="84">
        <f t="shared" si="264"/>
        <v>0</v>
      </c>
      <c r="AE107" s="180">
        <f t="shared" si="261"/>
        <v>8</v>
      </c>
      <c r="AG107" s="180">
        <v>44548891</v>
      </c>
      <c r="AH107" s="180">
        <v>44548891</v>
      </c>
      <c r="AI107" s="180">
        <v>44548891</v>
      </c>
      <c r="AK107" s="168">
        <f t="shared" si="159"/>
        <v>0</v>
      </c>
      <c r="AL107" s="182"/>
    </row>
    <row r="108" spans="1:38" x14ac:dyDescent="0.2">
      <c r="A108" s="77" t="s">
        <v>111</v>
      </c>
      <c r="B108" s="77" t="str">
        <f t="shared" si="155"/>
        <v>COMERCIAL</v>
      </c>
      <c r="C108" s="78" t="s">
        <v>287</v>
      </c>
      <c r="D108" s="83" t="s">
        <v>288</v>
      </c>
      <c r="E108" s="79">
        <f>VLOOKUP($C108,DATOS!$A$1:$O$1101,3,FALSE)</f>
        <v>36000000000</v>
      </c>
      <c r="F108" s="191">
        <f>VLOOKUP($C108,DATOS!$A$1:$O$1101,4,FALSE)</f>
        <v>0</v>
      </c>
      <c r="G108" s="79">
        <f>VLOOKUP($C108,DATOS!$A$1:$O$1101,5,FALSE)</f>
        <v>0</v>
      </c>
      <c r="H108" s="79">
        <f t="shared" ref="H108:H109" si="265">E108+G108</f>
        <v>36000000000</v>
      </c>
      <c r="I108" s="79">
        <f>VLOOKUP($C108,DATOS!$A$1:$O$1101,7,FALSE)</f>
        <v>0</v>
      </c>
      <c r="J108" s="79">
        <f t="shared" ref="J108:J109" si="266">H108-I108</f>
        <v>36000000000</v>
      </c>
      <c r="K108" s="79">
        <f>VLOOKUP($C108,DATOS!$A$1:$O$1101,9,FALSE)</f>
        <v>0</v>
      </c>
      <c r="L108" s="79">
        <f>VLOOKUP($C108,DATOS!$A$1:$O$1101,10,FALSE)</f>
        <v>0</v>
      </c>
      <c r="M108" s="80">
        <f t="shared" si="157"/>
        <v>0</v>
      </c>
      <c r="N108" s="79">
        <f>VLOOKUP($C108,DATOS!$A$1:$O$1101,12,FALSE)</f>
        <v>0</v>
      </c>
      <c r="O108" s="79">
        <f>VLOOKUP($C108,DATOS!$A$1:$O$1101,13,FALSE)</f>
        <v>0</v>
      </c>
      <c r="P108" s="80">
        <f t="shared" si="158"/>
        <v>0</v>
      </c>
      <c r="Q108" s="85">
        <f t="shared" ref="Q108:Q109" si="267">SUM(R108:S108)</f>
        <v>0</v>
      </c>
      <c r="R108" s="85">
        <f>AG108</f>
        <v>0</v>
      </c>
      <c r="S108" s="97">
        <v>0</v>
      </c>
      <c r="T108" s="85">
        <f>+Q108-L108</f>
        <v>0</v>
      </c>
      <c r="U108" s="85">
        <f t="shared" ref="U108:U109" si="268">+V108-L108</f>
        <v>0</v>
      </c>
      <c r="V108" s="85">
        <f>SUM(W108:X108)</f>
        <v>0</v>
      </c>
      <c r="W108" s="85">
        <f>AH108</f>
        <v>0</v>
      </c>
      <c r="X108" s="97">
        <v>0</v>
      </c>
      <c r="Y108" s="85">
        <f>+L108-V108</f>
        <v>0</v>
      </c>
      <c r="Z108" s="85">
        <f t="shared" ref="Z108:Z109" si="269">SUM(AA108:AB108)</f>
        <v>0</v>
      </c>
      <c r="AA108" s="85">
        <f>AI108</f>
        <v>0</v>
      </c>
      <c r="AB108" s="97">
        <v>0</v>
      </c>
      <c r="AC108" s="85">
        <f>+O108-Z108</f>
        <v>0</v>
      </c>
      <c r="AD108" s="85">
        <f t="shared" ref="AD108:AD109" si="270">+L108-O108</f>
        <v>0</v>
      </c>
      <c r="AE108" s="29"/>
      <c r="AG108" s="29">
        <v>0</v>
      </c>
      <c r="AH108" s="29">
        <v>0</v>
      </c>
      <c r="AI108" s="29">
        <v>0</v>
      </c>
      <c r="AK108" s="168">
        <f t="shared" si="159"/>
        <v>0</v>
      </c>
      <c r="AL108" s="168"/>
    </row>
    <row r="109" spans="1:38" s="177" customFormat="1" x14ac:dyDescent="0.2">
      <c r="A109" s="66" t="s">
        <v>112</v>
      </c>
      <c r="B109" s="66" t="str">
        <f t="shared" si="155"/>
        <v>COMERCIAL</v>
      </c>
      <c r="C109" s="67" t="s">
        <v>289</v>
      </c>
      <c r="D109" s="71" t="s">
        <v>290</v>
      </c>
      <c r="E109" s="68">
        <f>VLOOKUP($C109,DATOS!$A$1:$O$1101,3,FALSE)</f>
        <v>0</v>
      </c>
      <c r="F109" s="192">
        <f>VLOOKUP($C109,DATOS!$A$1:$O$1101,4,FALSE)</f>
        <v>0</v>
      </c>
      <c r="G109" s="68">
        <f>VLOOKUP($C109,DATOS!$A$1:$O$1101,5,FALSE)</f>
        <v>44548891</v>
      </c>
      <c r="H109" s="68">
        <f t="shared" si="265"/>
        <v>44548891</v>
      </c>
      <c r="I109" s="68">
        <f>VLOOKUP($C109,DATOS!$A$1:$O$1101,7,FALSE)</f>
        <v>0</v>
      </c>
      <c r="J109" s="68">
        <f t="shared" si="266"/>
        <v>44548891</v>
      </c>
      <c r="K109" s="68">
        <f>VLOOKUP($C109,DATOS!$A$1:$O$1101,9,FALSE)</f>
        <v>0</v>
      </c>
      <c r="L109" s="68">
        <f>VLOOKUP($C109,DATOS!$A$1:$O$1101,10,FALSE)</f>
        <v>44548891</v>
      </c>
      <c r="M109" s="69">
        <f t="shared" si="157"/>
        <v>1</v>
      </c>
      <c r="N109" s="68">
        <f>VLOOKUP($C109,DATOS!$A$1:$O$1101,12,FALSE)</f>
        <v>0</v>
      </c>
      <c r="O109" s="68">
        <f>VLOOKUP($C109,DATOS!$A$1:$O$1101,13,FALSE)</f>
        <v>44548891</v>
      </c>
      <c r="P109" s="69">
        <f t="shared" si="158"/>
        <v>1</v>
      </c>
      <c r="Q109" s="72">
        <f t="shared" si="267"/>
        <v>44548891</v>
      </c>
      <c r="R109" s="72">
        <f t="shared" ref="R109" si="271">AG109</f>
        <v>44548891</v>
      </c>
      <c r="S109" s="97">
        <v>0</v>
      </c>
      <c r="T109" s="72">
        <f t="shared" ref="T109" si="272">+Q109-L109</f>
        <v>0</v>
      </c>
      <c r="U109" s="72">
        <f t="shared" si="268"/>
        <v>0</v>
      </c>
      <c r="V109" s="72">
        <f t="shared" ref="V109" si="273">SUM(W109:X109)</f>
        <v>44548891</v>
      </c>
      <c r="W109" s="72">
        <f t="shared" ref="W109" si="274">AH109</f>
        <v>44548891</v>
      </c>
      <c r="X109" s="97">
        <v>0</v>
      </c>
      <c r="Y109" s="72">
        <f t="shared" ref="Y109" si="275">+L109-V109</f>
        <v>0</v>
      </c>
      <c r="Z109" s="72">
        <f t="shared" si="269"/>
        <v>44548891</v>
      </c>
      <c r="AA109" s="72">
        <f t="shared" ref="AA109" si="276">AI109</f>
        <v>44548891</v>
      </c>
      <c r="AB109" s="97">
        <v>0</v>
      </c>
      <c r="AC109" s="72">
        <f t="shared" ref="AC109" si="277">+O109-Z109</f>
        <v>0</v>
      </c>
      <c r="AD109" s="72">
        <f t="shared" si="270"/>
        <v>0</v>
      </c>
      <c r="AE109" s="29">
        <f t="shared" ref="AE109" si="278">LEN(C109)</f>
        <v>9</v>
      </c>
      <c r="AG109" s="176">
        <v>44548891</v>
      </c>
      <c r="AH109" s="176">
        <v>44548891</v>
      </c>
      <c r="AI109" s="176">
        <v>44548891</v>
      </c>
      <c r="AK109" s="168">
        <f t="shared" si="159"/>
        <v>0</v>
      </c>
      <c r="AL109" s="178"/>
    </row>
    <row r="110" spans="1:38" s="22" customFormat="1" hidden="1" x14ac:dyDescent="0.2">
      <c r="A110" s="165"/>
      <c r="B110" s="165" t="str">
        <f t="shared" si="155"/>
        <v>COMERCIAL</v>
      </c>
      <c r="C110" s="59" t="s">
        <v>185</v>
      </c>
      <c r="D110" s="57" t="s">
        <v>186</v>
      </c>
      <c r="E110" s="60">
        <f>SUM(E111:E112)</f>
        <v>20000000</v>
      </c>
      <c r="F110" s="60">
        <f t="shared" ref="F110:AD110" si="279">SUM(F111:F112)</f>
        <v>0</v>
      </c>
      <c r="G110" s="60">
        <f t="shared" si="279"/>
        <v>54159580</v>
      </c>
      <c r="H110" s="60">
        <f t="shared" si="279"/>
        <v>74159580</v>
      </c>
      <c r="I110" s="60">
        <f t="shared" si="279"/>
        <v>0</v>
      </c>
      <c r="J110" s="60">
        <f t="shared" si="279"/>
        <v>74159580</v>
      </c>
      <c r="K110" s="60">
        <f t="shared" si="279"/>
        <v>0</v>
      </c>
      <c r="L110" s="60">
        <f t="shared" si="279"/>
        <v>35162822</v>
      </c>
      <c r="M110" s="61">
        <f t="shared" si="157"/>
        <v>0.47415077054104138</v>
      </c>
      <c r="N110" s="60">
        <f t="shared" si="279"/>
        <v>0</v>
      </c>
      <c r="O110" s="60">
        <f t="shared" si="279"/>
        <v>5928956</v>
      </c>
      <c r="P110" s="61">
        <f t="shared" si="158"/>
        <v>7.994861891073278E-2</v>
      </c>
      <c r="Q110" s="84">
        <f t="shared" si="279"/>
        <v>35162822</v>
      </c>
      <c r="R110" s="84">
        <f t="shared" si="279"/>
        <v>72597380</v>
      </c>
      <c r="S110" s="179">
        <f t="shared" si="279"/>
        <v>-37434558</v>
      </c>
      <c r="T110" s="84">
        <f t="shared" si="279"/>
        <v>0</v>
      </c>
      <c r="U110" s="84">
        <f t="shared" si="279"/>
        <v>0</v>
      </c>
      <c r="V110" s="84">
        <f t="shared" si="279"/>
        <v>35162822</v>
      </c>
      <c r="W110" s="84">
        <f t="shared" si="279"/>
        <v>35162822</v>
      </c>
      <c r="X110" s="179">
        <f t="shared" si="279"/>
        <v>0</v>
      </c>
      <c r="Y110" s="84">
        <f t="shared" si="279"/>
        <v>0</v>
      </c>
      <c r="Z110" s="84">
        <f t="shared" si="279"/>
        <v>5928956</v>
      </c>
      <c r="AA110" s="84">
        <f t="shared" si="279"/>
        <v>5928956</v>
      </c>
      <c r="AB110" s="179">
        <f t="shared" si="279"/>
        <v>0</v>
      </c>
      <c r="AC110" s="84">
        <f t="shared" si="279"/>
        <v>0</v>
      </c>
      <c r="AD110" s="84">
        <f t="shared" si="279"/>
        <v>29233866</v>
      </c>
      <c r="AE110" s="180">
        <f t="shared" si="261"/>
        <v>8</v>
      </c>
      <c r="AG110" s="180">
        <v>72597380</v>
      </c>
      <c r="AH110" s="180">
        <v>35162822</v>
      </c>
      <c r="AI110" s="180">
        <v>5928956</v>
      </c>
      <c r="AK110" s="168">
        <f t="shared" si="159"/>
        <v>0</v>
      </c>
      <c r="AL110" s="182"/>
    </row>
    <row r="111" spans="1:38" x14ac:dyDescent="0.2">
      <c r="A111" s="77" t="s">
        <v>111</v>
      </c>
      <c r="B111" s="77" t="str">
        <f t="shared" si="155"/>
        <v>COMERCIAL</v>
      </c>
      <c r="C111" s="78" t="s">
        <v>291</v>
      </c>
      <c r="D111" s="83" t="s">
        <v>292</v>
      </c>
      <c r="E111" s="79">
        <f>VLOOKUP($C111,DATOS!$A$1:$O$1101,3,FALSE)</f>
        <v>0</v>
      </c>
      <c r="F111" s="191">
        <f>VLOOKUP($C111,DATOS!$A$1:$O$1101,4,FALSE)</f>
        <v>0</v>
      </c>
      <c r="G111" s="79">
        <f>VLOOKUP($C111,DATOS!$A$1:$O$1101,5,FALSE)</f>
        <v>60100000</v>
      </c>
      <c r="H111" s="79">
        <f t="shared" ref="H111:H115" si="280">E111+G111</f>
        <v>60100000</v>
      </c>
      <c r="I111" s="79">
        <f>VLOOKUP($C111,DATOS!$A$1:$O$1101,7,FALSE)</f>
        <v>0</v>
      </c>
      <c r="J111" s="79">
        <f t="shared" ref="J111:J115" si="281">H111-I111</f>
        <v>60100000</v>
      </c>
      <c r="K111" s="79">
        <f>VLOOKUP($C111,DATOS!$A$1:$O$1101,9,FALSE)</f>
        <v>0</v>
      </c>
      <c r="L111" s="79">
        <f>VLOOKUP($C111,DATOS!$A$1:$O$1101,10,FALSE)</f>
        <v>21103242</v>
      </c>
      <c r="M111" s="80">
        <f t="shared" si="157"/>
        <v>0.35113547420965058</v>
      </c>
      <c r="N111" s="79">
        <f>VLOOKUP($C111,DATOS!$A$1:$O$1101,12,FALSE)</f>
        <v>0</v>
      </c>
      <c r="O111" s="79">
        <f>VLOOKUP($C111,DATOS!$A$1:$O$1101,13,FALSE)</f>
        <v>4505521</v>
      </c>
      <c r="P111" s="80">
        <f t="shared" si="158"/>
        <v>7.4967071547420966E-2</v>
      </c>
      <c r="Q111" s="85">
        <f t="shared" ref="Q111:Q114" si="282">SUM(R111:S111)</f>
        <v>21103242</v>
      </c>
      <c r="R111" s="85">
        <f t="shared" ref="R111:R114" si="283">AG111</f>
        <v>58537800</v>
      </c>
      <c r="S111" s="97">
        <v>-37434558</v>
      </c>
      <c r="T111" s="85">
        <f t="shared" ref="T111:T114" si="284">+Q111-L111</f>
        <v>0</v>
      </c>
      <c r="U111" s="85">
        <f t="shared" ref="U111:U112" si="285">+V111-L111</f>
        <v>0</v>
      </c>
      <c r="V111" s="85">
        <f t="shared" ref="V111:V114" si="286">SUM(W111:X111)</f>
        <v>21103242</v>
      </c>
      <c r="W111" s="85">
        <f t="shared" ref="W111:W114" si="287">AH111</f>
        <v>21103242</v>
      </c>
      <c r="X111" s="97">
        <v>0</v>
      </c>
      <c r="Y111" s="85">
        <f t="shared" ref="Y111:Y114" si="288">+L111-V111</f>
        <v>0</v>
      </c>
      <c r="Z111" s="85">
        <f t="shared" ref="Z111:Z114" si="289">SUM(AA111:AB111)</f>
        <v>4505521</v>
      </c>
      <c r="AA111" s="85">
        <f t="shared" ref="AA111:AA114" si="290">AI111</f>
        <v>4505521</v>
      </c>
      <c r="AB111" s="97">
        <v>0</v>
      </c>
      <c r="AC111" s="85">
        <f t="shared" ref="AC111:AC114" si="291">+O111-Z111</f>
        <v>0</v>
      </c>
      <c r="AD111" s="85">
        <f t="shared" ref="AD111:AD114" si="292">+L111-O111</f>
        <v>16597721</v>
      </c>
      <c r="AE111" s="29"/>
      <c r="AG111" s="29">
        <v>58537800</v>
      </c>
      <c r="AH111" s="29">
        <v>21103242</v>
      </c>
      <c r="AI111" s="29">
        <v>4505521</v>
      </c>
      <c r="AK111" s="168">
        <f t="shared" si="159"/>
        <v>0</v>
      </c>
      <c r="AL111" s="168"/>
    </row>
    <row r="112" spans="1:38" x14ac:dyDescent="0.2">
      <c r="A112" s="66" t="s">
        <v>112</v>
      </c>
      <c r="B112" s="66" t="str">
        <f t="shared" si="155"/>
        <v>COMERCIAL</v>
      </c>
      <c r="C112" s="67" t="s">
        <v>242</v>
      </c>
      <c r="D112" s="71" t="s">
        <v>243</v>
      </c>
      <c r="E112" s="68">
        <f>VLOOKUP($C112,DATOS!$A$1:$O$1101,3,FALSE)</f>
        <v>20000000</v>
      </c>
      <c r="F112" s="192">
        <f>VLOOKUP($C112,DATOS!$A$1:$O$1101,4,FALSE)</f>
        <v>0</v>
      </c>
      <c r="G112" s="68">
        <f>VLOOKUP($C112,DATOS!$A$1:$O$1101,5,FALSE)</f>
        <v>-5940420</v>
      </c>
      <c r="H112" s="68">
        <f t="shared" si="280"/>
        <v>14059580</v>
      </c>
      <c r="I112" s="68">
        <f>VLOOKUP($C112,DATOS!$A$1:$O$1101,7,FALSE)</f>
        <v>0</v>
      </c>
      <c r="J112" s="68">
        <f t="shared" si="281"/>
        <v>14059580</v>
      </c>
      <c r="K112" s="68">
        <f>VLOOKUP($C112,DATOS!$A$1:$O$1101,9,FALSE)</f>
        <v>0</v>
      </c>
      <c r="L112" s="68">
        <f>VLOOKUP($C112,DATOS!$A$1:$O$1101,10,FALSE)</f>
        <v>14059580</v>
      </c>
      <c r="M112" s="69">
        <f t="shared" si="157"/>
        <v>1</v>
      </c>
      <c r="N112" s="68">
        <f>VLOOKUP($C112,DATOS!$A$1:$O$1101,12,FALSE)</f>
        <v>0</v>
      </c>
      <c r="O112" s="68">
        <f>VLOOKUP($C112,DATOS!$A$1:$O$1101,13,FALSE)</f>
        <v>1423435</v>
      </c>
      <c r="P112" s="69">
        <f t="shared" si="158"/>
        <v>0.10124306700484652</v>
      </c>
      <c r="Q112" s="72">
        <f t="shared" si="282"/>
        <v>14059580</v>
      </c>
      <c r="R112" s="72">
        <f t="shared" si="283"/>
        <v>14059580</v>
      </c>
      <c r="S112" s="97">
        <v>0</v>
      </c>
      <c r="T112" s="72">
        <f t="shared" si="284"/>
        <v>0</v>
      </c>
      <c r="U112" s="72">
        <f t="shared" si="285"/>
        <v>0</v>
      </c>
      <c r="V112" s="72">
        <f t="shared" si="286"/>
        <v>14059580</v>
      </c>
      <c r="W112" s="72">
        <f t="shared" si="287"/>
        <v>14059580</v>
      </c>
      <c r="X112" s="97">
        <v>0</v>
      </c>
      <c r="Y112" s="72">
        <f t="shared" si="288"/>
        <v>0</v>
      </c>
      <c r="Z112" s="72">
        <f t="shared" si="289"/>
        <v>1423435</v>
      </c>
      <c r="AA112" s="72">
        <f t="shared" si="290"/>
        <v>1423435</v>
      </c>
      <c r="AB112" s="97">
        <v>0</v>
      </c>
      <c r="AC112" s="72">
        <f t="shared" si="291"/>
        <v>0</v>
      </c>
      <c r="AD112" s="72">
        <f t="shared" si="292"/>
        <v>12636145</v>
      </c>
      <c r="AE112" s="29">
        <f t="shared" si="261"/>
        <v>9</v>
      </c>
      <c r="AG112" s="29">
        <v>14059580</v>
      </c>
      <c r="AH112" s="29">
        <v>14059580</v>
      </c>
      <c r="AI112" s="29">
        <v>1423435</v>
      </c>
      <c r="AK112" s="168">
        <f t="shared" si="159"/>
        <v>0</v>
      </c>
      <c r="AL112" s="168"/>
    </row>
    <row r="113" spans="1:38" s="22" customFormat="1" hidden="1" x14ac:dyDescent="0.2">
      <c r="A113" s="165"/>
      <c r="B113" s="165" t="str">
        <f t="shared" ref="B113" si="293">IF(C113&gt;2,IF(MID(C113,1,3)="421","FUNCIONAMIENTO",IF(MID(C113,1,3)="423","INVERSION","COMERCIAL")))</f>
        <v>COMERCIAL</v>
      </c>
      <c r="C113" s="59" t="s">
        <v>313</v>
      </c>
      <c r="D113" s="57" t="s">
        <v>188</v>
      </c>
      <c r="E113" s="60">
        <f>SUM(E114:E115)</f>
        <v>64045800</v>
      </c>
      <c r="F113" s="60">
        <f t="shared" ref="F113:AD113" si="294">SUM(F114:F115)</f>
        <v>0</v>
      </c>
      <c r="G113" s="60">
        <f t="shared" si="294"/>
        <v>5065226287</v>
      </c>
      <c r="H113" s="60">
        <f t="shared" si="294"/>
        <v>5129272087</v>
      </c>
      <c r="I113" s="60">
        <f t="shared" si="294"/>
        <v>0</v>
      </c>
      <c r="J113" s="60">
        <f t="shared" si="294"/>
        <v>5129272087</v>
      </c>
      <c r="K113" s="60">
        <f t="shared" si="294"/>
        <v>69802873</v>
      </c>
      <c r="L113" s="60">
        <f t="shared" si="294"/>
        <v>4718705290</v>
      </c>
      <c r="M113" s="61">
        <f t="shared" si="157"/>
        <v>0.91995612827001894</v>
      </c>
      <c r="N113" s="60">
        <f t="shared" si="294"/>
        <v>755313414</v>
      </c>
      <c r="O113" s="60">
        <f t="shared" si="294"/>
        <v>2187504334</v>
      </c>
      <c r="P113" s="61">
        <f t="shared" si="158"/>
        <v>0.42647461411613746</v>
      </c>
      <c r="Q113" s="84">
        <f t="shared" si="294"/>
        <v>4718705290</v>
      </c>
      <c r="R113" s="84">
        <f t="shared" si="294"/>
        <v>4719988810</v>
      </c>
      <c r="S113" s="179">
        <f t="shared" si="294"/>
        <v>-1283520</v>
      </c>
      <c r="T113" s="84">
        <f t="shared" si="294"/>
        <v>0</v>
      </c>
      <c r="U113" s="84">
        <f t="shared" si="294"/>
        <v>0</v>
      </c>
      <c r="V113" s="84">
        <f t="shared" si="294"/>
        <v>4718705290</v>
      </c>
      <c r="W113" s="84">
        <f t="shared" si="294"/>
        <v>4648902417</v>
      </c>
      <c r="X113" s="179">
        <f t="shared" si="294"/>
        <v>69802873</v>
      </c>
      <c r="Y113" s="84">
        <f t="shared" si="294"/>
        <v>0</v>
      </c>
      <c r="Z113" s="84">
        <f t="shared" si="294"/>
        <v>2187504334</v>
      </c>
      <c r="AA113" s="84">
        <f t="shared" si="294"/>
        <v>1432190920</v>
      </c>
      <c r="AB113" s="179">
        <f t="shared" si="294"/>
        <v>755313414</v>
      </c>
      <c r="AC113" s="84">
        <f t="shared" si="294"/>
        <v>0</v>
      </c>
      <c r="AD113" s="84">
        <f t="shared" si="294"/>
        <v>2531200956</v>
      </c>
      <c r="AE113" s="180">
        <f t="shared" ref="AE113" si="295">LEN(C113)</f>
        <v>9</v>
      </c>
      <c r="AG113" s="180">
        <v>4719988810</v>
      </c>
      <c r="AH113" s="180">
        <v>4648902417</v>
      </c>
      <c r="AI113" s="180">
        <v>1432190920</v>
      </c>
      <c r="AK113" s="168">
        <f t="shared" si="159"/>
        <v>1</v>
      </c>
      <c r="AL113" s="182"/>
    </row>
    <row r="114" spans="1:38" x14ac:dyDescent="0.2">
      <c r="A114" s="77" t="s">
        <v>111</v>
      </c>
      <c r="B114" s="77" t="str">
        <f t="shared" si="155"/>
        <v>COMERCIAL</v>
      </c>
      <c r="C114" s="78" t="s">
        <v>187</v>
      </c>
      <c r="D114" s="83" t="s">
        <v>188</v>
      </c>
      <c r="E114" s="79">
        <f>VLOOKUP($C114,DATOS!$A$1:$O$1101,3,FALSE)</f>
        <v>0</v>
      </c>
      <c r="F114" s="191">
        <f>VLOOKUP($C114,DATOS!$A$1:$O$1101,4,FALSE)</f>
        <v>0</v>
      </c>
      <c r="G114" s="79">
        <f>VLOOKUP($C114,DATOS!$A$1:$O$1101,5,FALSE)</f>
        <v>5065226287</v>
      </c>
      <c r="H114" s="79">
        <f t="shared" si="280"/>
        <v>5065226287</v>
      </c>
      <c r="I114" s="79">
        <f>VLOOKUP($C114,DATOS!$A$1:$O$1101,7,FALSE)</f>
        <v>0</v>
      </c>
      <c r="J114" s="79">
        <f t="shared" si="281"/>
        <v>5065226287</v>
      </c>
      <c r="K114" s="79">
        <f>VLOOKUP($C114,DATOS!$A$1:$O$1101,9,FALSE)</f>
        <v>69802873</v>
      </c>
      <c r="L114" s="79">
        <f>VLOOKUP($C114,DATOS!$A$1:$O$1101,10,FALSE)</f>
        <v>4654659490</v>
      </c>
      <c r="M114" s="80">
        <f t="shared" si="157"/>
        <v>0.91894403650756384</v>
      </c>
      <c r="N114" s="79">
        <f>VLOOKUP($C114,DATOS!$A$1:$O$1101,12,FALSE)</f>
        <v>755313414</v>
      </c>
      <c r="O114" s="79">
        <f>VLOOKUP($C114,DATOS!$A$1:$O$1101,13,FALSE)</f>
        <v>2187504334</v>
      </c>
      <c r="P114" s="80">
        <f t="shared" si="158"/>
        <v>0.43186704997055542</v>
      </c>
      <c r="Q114" s="85">
        <f t="shared" si="282"/>
        <v>4654659490</v>
      </c>
      <c r="R114" s="85">
        <f t="shared" si="283"/>
        <v>4655943010</v>
      </c>
      <c r="S114" s="97">
        <v>-1283520</v>
      </c>
      <c r="T114" s="85">
        <f t="shared" si="284"/>
        <v>0</v>
      </c>
      <c r="U114" s="85">
        <f>+V114-L114</f>
        <v>0</v>
      </c>
      <c r="V114" s="85">
        <f t="shared" si="286"/>
        <v>4654659490</v>
      </c>
      <c r="W114" s="85">
        <f t="shared" si="287"/>
        <v>4584856617</v>
      </c>
      <c r="X114" s="97">
        <v>69802873</v>
      </c>
      <c r="Y114" s="85">
        <f t="shared" si="288"/>
        <v>0</v>
      </c>
      <c r="Z114" s="85">
        <f t="shared" si="289"/>
        <v>2187504334</v>
      </c>
      <c r="AA114" s="85">
        <f t="shared" si="290"/>
        <v>1432190920</v>
      </c>
      <c r="AB114" s="97">
        <v>755313414</v>
      </c>
      <c r="AC114" s="85">
        <f t="shared" si="291"/>
        <v>0</v>
      </c>
      <c r="AD114" s="85">
        <f t="shared" si="292"/>
        <v>2467155156</v>
      </c>
      <c r="AE114" s="29">
        <f t="shared" si="261"/>
        <v>8</v>
      </c>
      <c r="AG114" s="29">
        <v>4655943010</v>
      </c>
      <c r="AH114" s="29">
        <v>4584856617</v>
      </c>
      <c r="AI114" s="29">
        <v>1432190920</v>
      </c>
      <c r="AK114" s="168">
        <f t="shared" si="159"/>
        <v>1</v>
      </c>
      <c r="AL114" s="168"/>
    </row>
    <row r="115" spans="1:38" s="177" customFormat="1" x14ac:dyDescent="0.2">
      <c r="A115" s="66" t="s">
        <v>112</v>
      </c>
      <c r="B115" s="66" t="str">
        <f t="shared" si="155"/>
        <v>COMERCIAL</v>
      </c>
      <c r="C115" s="67" t="s">
        <v>293</v>
      </c>
      <c r="D115" s="71" t="s">
        <v>294</v>
      </c>
      <c r="E115" s="68">
        <f>VLOOKUP($C115,DATOS!$A$1:$O$1101,3,FALSE)</f>
        <v>64045800</v>
      </c>
      <c r="F115" s="192">
        <f>VLOOKUP($C115,DATOS!$A$1:$O$1101,4,FALSE)</f>
        <v>0</v>
      </c>
      <c r="G115" s="68">
        <f>VLOOKUP($C115,DATOS!$A$1:$O$1101,5,FALSE)</f>
        <v>0</v>
      </c>
      <c r="H115" s="68">
        <f t="shared" si="280"/>
        <v>64045800</v>
      </c>
      <c r="I115" s="68">
        <f>VLOOKUP($C115,DATOS!$A$1:$O$1101,7,FALSE)</f>
        <v>0</v>
      </c>
      <c r="J115" s="68">
        <f t="shared" si="281"/>
        <v>64045800</v>
      </c>
      <c r="K115" s="68">
        <f>VLOOKUP($C115,DATOS!$A$1:$O$1101,9,FALSE)</f>
        <v>0</v>
      </c>
      <c r="L115" s="68">
        <f>VLOOKUP($C115,DATOS!$A$1:$O$1101,10,FALSE)</f>
        <v>64045800</v>
      </c>
      <c r="M115" s="69">
        <f t="shared" si="157"/>
        <v>1</v>
      </c>
      <c r="N115" s="68">
        <f>VLOOKUP($C115,DATOS!$A$1:$O$1101,12,FALSE)</f>
        <v>0</v>
      </c>
      <c r="O115" s="68">
        <f>VLOOKUP($C115,DATOS!$A$1:$O$1101,13,FALSE)</f>
        <v>0</v>
      </c>
      <c r="P115" s="69">
        <f t="shared" si="158"/>
        <v>0</v>
      </c>
      <c r="Q115" s="72">
        <f t="shared" ref="Q115" si="296">SUM(R115:S115)</f>
        <v>64045800</v>
      </c>
      <c r="R115" s="72">
        <f t="shared" ref="R115" si="297">AG115</f>
        <v>64045800</v>
      </c>
      <c r="S115" s="97">
        <v>0</v>
      </c>
      <c r="T115" s="72">
        <f t="shared" ref="T115" si="298">+Q115-L115</f>
        <v>0</v>
      </c>
      <c r="U115" s="72">
        <f t="shared" ref="U115" si="299">+V115-L115</f>
        <v>0</v>
      </c>
      <c r="V115" s="72">
        <f t="shared" ref="V115" si="300">SUM(W115:X115)</f>
        <v>64045800</v>
      </c>
      <c r="W115" s="72">
        <f t="shared" ref="W115" si="301">AH115</f>
        <v>64045800</v>
      </c>
      <c r="X115" s="97">
        <v>0</v>
      </c>
      <c r="Y115" s="72">
        <f t="shared" ref="Y115" si="302">+L115-V115</f>
        <v>0</v>
      </c>
      <c r="Z115" s="72">
        <f t="shared" ref="Z115" si="303">SUM(AA115:AB115)</f>
        <v>0</v>
      </c>
      <c r="AA115" s="72">
        <f t="shared" ref="AA115" si="304">AI115</f>
        <v>0</v>
      </c>
      <c r="AB115" s="97">
        <v>0</v>
      </c>
      <c r="AC115" s="72">
        <f t="shared" ref="AC115" si="305">+O115-Z115</f>
        <v>0</v>
      </c>
      <c r="AD115" s="72">
        <f t="shared" ref="AD115" si="306">+L115-O115</f>
        <v>64045800</v>
      </c>
      <c r="AE115" s="29">
        <f t="shared" ref="AE115" si="307">LEN(C115)</f>
        <v>9</v>
      </c>
      <c r="AG115" s="176">
        <v>64045800</v>
      </c>
      <c r="AH115" s="176">
        <v>64045800</v>
      </c>
      <c r="AI115" s="176">
        <v>0</v>
      </c>
      <c r="AK115" s="168">
        <f t="shared" si="159"/>
        <v>0</v>
      </c>
      <c r="AL115" s="178"/>
    </row>
    <row r="116" spans="1:38" hidden="1" x14ac:dyDescent="0.2">
      <c r="A116" s="75"/>
      <c r="B116" s="75" t="str">
        <f t="shared" si="155"/>
        <v>COMERCIAL</v>
      </c>
      <c r="C116" s="59" t="s">
        <v>197</v>
      </c>
      <c r="D116" s="57" t="s">
        <v>198</v>
      </c>
      <c r="E116" s="60">
        <f>SUM(E117:E118)</f>
        <v>271115599200</v>
      </c>
      <c r="F116" s="60">
        <f t="shared" ref="F116:AD116" si="308">SUM(F117:F118)</f>
        <v>0</v>
      </c>
      <c r="G116" s="60">
        <f t="shared" si="308"/>
        <v>-52947721434</v>
      </c>
      <c r="H116" s="60">
        <f t="shared" si="171"/>
        <v>218167877766</v>
      </c>
      <c r="I116" s="60">
        <f t="shared" si="308"/>
        <v>0</v>
      </c>
      <c r="J116" s="60">
        <f t="shared" si="172"/>
        <v>218167877766</v>
      </c>
      <c r="K116" s="60">
        <f t="shared" si="308"/>
        <v>14640949776</v>
      </c>
      <c r="L116" s="60">
        <f t="shared" si="308"/>
        <v>94887610194</v>
      </c>
      <c r="M116" s="61">
        <f t="shared" si="157"/>
        <v>0.43492933591155647</v>
      </c>
      <c r="N116" s="60">
        <f t="shared" si="308"/>
        <v>8124563245</v>
      </c>
      <c r="O116" s="60">
        <f t="shared" si="308"/>
        <v>58265213871</v>
      </c>
      <c r="P116" s="61">
        <f t="shared" si="158"/>
        <v>0.26706596070707272</v>
      </c>
      <c r="Q116" s="84">
        <f t="shared" si="173"/>
        <v>94887610194</v>
      </c>
      <c r="R116" s="84">
        <f t="shared" si="308"/>
        <v>101090118227</v>
      </c>
      <c r="S116" s="84">
        <f t="shared" si="308"/>
        <v>-6202508033</v>
      </c>
      <c r="T116" s="84">
        <f t="shared" si="308"/>
        <v>0</v>
      </c>
      <c r="U116" s="84">
        <f t="shared" si="308"/>
        <v>0</v>
      </c>
      <c r="V116" s="84">
        <f t="shared" ref="V116:V122" si="309">SUM(W116:X116)</f>
        <v>94887610194</v>
      </c>
      <c r="W116" s="84">
        <f t="shared" si="308"/>
        <v>80246660418</v>
      </c>
      <c r="X116" s="84">
        <f t="shared" si="308"/>
        <v>14640949776</v>
      </c>
      <c r="Y116" s="84">
        <f t="shared" si="176"/>
        <v>0</v>
      </c>
      <c r="Z116" s="84">
        <f t="shared" si="177"/>
        <v>58265213871</v>
      </c>
      <c r="AA116" s="84">
        <f t="shared" si="308"/>
        <v>50140650626</v>
      </c>
      <c r="AB116" s="84">
        <f t="shared" si="308"/>
        <v>8124563245</v>
      </c>
      <c r="AC116" s="84">
        <f t="shared" si="178"/>
        <v>0</v>
      </c>
      <c r="AD116" s="84">
        <f t="shared" si="308"/>
        <v>36622396323</v>
      </c>
      <c r="AE116" s="29">
        <f t="shared" si="261"/>
        <v>8</v>
      </c>
      <c r="AG116" s="29">
        <v>101090118227</v>
      </c>
      <c r="AH116" s="29">
        <v>80246660418</v>
      </c>
      <c r="AI116" s="29">
        <v>50140650626</v>
      </c>
      <c r="AK116" s="168">
        <f t="shared" si="159"/>
        <v>1</v>
      </c>
      <c r="AL116" s="168"/>
    </row>
    <row r="117" spans="1:38" x14ac:dyDescent="0.2">
      <c r="A117" s="77" t="s">
        <v>111</v>
      </c>
      <c r="B117" s="77" t="str">
        <f t="shared" si="155"/>
        <v>COMERCIAL</v>
      </c>
      <c r="C117" s="78" t="s">
        <v>189</v>
      </c>
      <c r="D117" s="83" t="s">
        <v>167</v>
      </c>
      <c r="E117" s="79">
        <f>VLOOKUP($C117,DATOS!$A$1:$O$1101,3,FALSE)</f>
        <v>191200645000</v>
      </c>
      <c r="F117" s="191">
        <f>VLOOKUP($C117,DATOS!$A$1:$O$1101,4,FALSE)</f>
        <v>0</v>
      </c>
      <c r="G117" s="79">
        <f>VLOOKUP($C117,DATOS!$A$1:$O$1101,5,FALSE)</f>
        <v>-14034970820</v>
      </c>
      <c r="H117" s="79">
        <f t="shared" si="171"/>
        <v>177165674180</v>
      </c>
      <c r="I117" s="79">
        <f>VLOOKUP($C117,DATOS!$A$1:$O$1101,7,FALSE)</f>
        <v>0</v>
      </c>
      <c r="J117" s="79">
        <f t="shared" si="172"/>
        <v>177165674180</v>
      </c>
      <c r="K117" s="79">
        <f>VLOOKUP($C117,DATOS!$A$1:$O$1101,9,FALSE)</f>
        <v>14654302063</v>
      </c>
      <c r="L117" s="79">
        <f>VLOOKUP($C117,DATOS!$A$1:$O$1101,10,FALSE)</f>
        <v>54235590373</v>
      </c>
      <c r="M117" s="80">
        <f t="shared" si="157"/>
        <v>0.30612922409505094</v>
      </c>
      <c r="N117" s="79">
        <f>VLOOKUP($C117,DATOS!$A$1:$O$1101,12,FALSE)</f>
        <v>5125905574</v>
      </c>
      <c r="O117" s="79">
        <f>VLOOKUP($C117,DATOS!$A$1:$O$1101,13,FALSE)</f>
        <v>31658489401</v>
      </c>
      <c r="P117" s="80">
        <f t="shared" si="158"/>
        <v>0.17869426200944</v>
      </c>
      <c r="Q117" s="85">
        <f t="shared" ref="Q117:Q118" si="310">SUM(R117:S117)</f>
        <v>54235590373</v>
      </c>
      <c r="R117" s="85">
        <f t="shared" ref="R117:R118" si="311">AG117</f>
        <v>60424746119</v>
      </c>
      <c r="S117" s="97">
        <v>-6189155746</v>
      </c>
      <c r="T117" s="85">
        <f t="shared" ref="T117:T118" si="312">+Q117-L117</f>
        <v>0</v>
      </c>
      <c r="U117" s="85">
        <f t="shared" ref="U117:U118" si="313">+V117-L117</f>
        <v>0</v>
      </c>
      <c r="V117" s="85">
        <f t="shared" si="309"/>
        <v>54235590373</v>
      </c>
      <c r="W117" s="85">
        <f t="shared" ref="W117:W118" si="314">AH117</f>
        <v>39581288310</v>
      </c>
      <c r="X117" s="97">
        <v>14654302063</v>
      </c>
      <c r="Y117" s="85">
        <f t="shared" si="176"/>
        <v>0</v>
      </c>
      <c r="Z117" s="85">
        <f t="shared" ref="Z117:Z118" si="315">SUM(AA117:AB117)</f>
        <v>31658489401</v>
      </c>
      <c r="AA117" s="85">
        <f t="shared" ref="AA117:AA118" si="316">AI117</f>
        <v>26532583827</v>
      </c>
      <c r="AB117" s="97">
        <v>5125905574</v>
      </c>
      <c r="AC117" s="85">
        <f t="shared" si="178"/>
        <v>0</v>
      </c>
      <c r="AD117" s="85">
        <f t="shared" ref="AD117:AD118" si="317">+L117-O117</f>
        <v>22577100972</v>
      </c>
      <c r="AE117" s="29">
        <f t="shared" si="261"/>
        <v>9</v>
      </c>
      <c r="AG117" s="29">
        <v>60424746119</v>
      </c>
      <c r="AH117" s="29">
        <v>39581288310</v>
      </c>
      <c r="AI117" s="29">
        <v>26532583827</v>
      </c>
      <c r="AK117" s="168">
        <f t="shared" si="159"/>
        <v>1</v>
      </c>
      <c r="AL117" s="168"/>
    </row>
    <row r="118" spans="1:38" ht="29.65" customHeight="1" x14ac:dyDescent="0.2">
      <c r="A118" s="66" t="s">
        <v>112</v>
      </c>
      <c r="B118" s="66" t="str">
        <f t="shared" si="155"/>
        <v>COMERCIAL</v>
      </c>
      <c r="C118" s="67" t="s">
        <v>190</v>
      </c>
      <c r="D118" s="71" t="s">
        <v>191</v>
      </c>
      <c r="E118" s="68">
        <f>VLOOKUP($C118,DATOS!$A$1:$O$1101,3,FALSE)</f>
        <v>79914954200</v>
      </c>
      <c r="F118" s="192">
        <f>VLOOKUP($C118,DATOS!$A$1:$O$1101,4,FALSE)</f>
        <v>0</v>
      </c>
      <c r="G118" s="68">
        <f>VLOOKUP($C118,DATOS!$A$1:$O$1101,5,FALSE)</f>
        <v>-38912750614</v>
      </c>
      <c r="H118" s="68">
        <f t="shared" si="171"/>
        <v>41002203586</v>
      </c>
      <c r="I118" s="68">
        <f>VLOOKUP($C118,DATOS!$A$1:$O$1101,7,FALSE)</f>
        <v>0</v>
      </c>
      <c r="J118" s="68">
        <f t="shared" si="172"/>
        <v>41002203586</v>
      </c>
      <c r="K118" s="68">
        <f>VLOOKUP($C118,DATOS!$A$1:$O$1101,9,FALSE)</f>
        <v>-13352287</v>
      </c>
      <c r="L118" s="68">
        <f>VLOOKUP($C118,DATOS!$A$1:$O$1101,10,FALSE)</f>
        <v>40652019821</v>
      </c>
      <c r="M118" s="69">
        <f t="shared" si="157"/>
        <v>0.99145939158451546</v>
      </c>
      <c r="N118" s="68">
        <f>VLOOKUP($C118,DATOS!$A$1:$O$1101,12,FALSE)</f>
        <v>2998657671</v>
      </c>
      <c r="O118" s="68">
        <f>VLOOKUP($C118,DATOS!$A$1:$O$1101,13,FALSE)</f>
        <v>26606724470</v>
      </c>
      <c r="P118" s="69">
        <f t="shared" si="158"/>
        <v>0.64890962297169641</v>
      </c>
      <c r="Q118" s="72">
        <f t="shared" si="310"/>
        <v>40652019821</v>
      </c>
      <c r="R118" s="72">
        <f t="shared" si="311"/>
        <v>40665372108</v>
      </c>
      <c r="S118" s="97">
        <v>-13352287</v>
      </c>
      <c r="T118" s="72">
        <f t="shared" si="312"/>
        <v>0</v>
      </c>
      <c r="U118" s="72">
        <f t="shared" si="313"/>
        <v>0</v>
      </c>
      <c r="V118" s="72">
        <f t="shared" si="309"/>
        <v>40652019821</v>
      </c>
      <c r="W118" s="72">
        <f t="shared" si="314"/>
        <v>40665372108</v>
      </c>
      <c r="X118" s="97">
        <v>-13352287</v>
      </c>
      <c r="Y118" s="72">
        <f t="shared" si="176"/>
        <v>0</v>
      </c>
      <c r="Z118" s="72">
        <f t="shared" si="315"/>
        <v>26606724470</v>
      </c>
      <c r="AA118" s="72">
        <f t="shared" si="316"/>
        <v>23608066799</v>
      </c>
      <c r="AB118" s="97">
        <v>2998657671</v>
      </c>
      <c r="AC118" s="72">
        <f t="shared" si="178"/>
        <v>0</v>
      </c>
      <c r="AD118" s="72">
        <f t="shared" si="317"/>
        <v>14045295351</v>
      </c>
      <c r="AE118" s="29">
        <f t="shared" si="261"/>
        <v>9</v>
      </c>
      <c r="AG118" s="29">
        <v>40665372108</v>
      </c>
      <c r="AH118" s="29">
        <v>40665372108</v>
      </c>
      <c r="AI118" s="29">
        <v>23608066799</v>
      </c>
      <c r="AK118" s="168">
        <f t="shared" si="159"/>
        <v>1</v>
      </c>
      <c r="AL118" s="168"/>
    </row>
    <row r="119" spans="1:38" s="22" customFormat="1" hidden="1" x14ac:dyDescent="0.2">
      <c r="A119" s="165"/>
      <c r="B119" s="165" t="str">
        <f t="shared" si="155"/>
        <v>COMERCIAL</v>
      </c>
      <c r="C119" s="59" t="s">
        <v>192</v>
      </c>
      <c r="D119" s="57" t="s">
        <v>193</v>
      </c>
      <c r="E119" s="60">
        <f>E120</f>
        <v>0</v>
      </c>
      <c r="F119" s="60">
        <f t="shared" ref="F119:AD119" si="318">F120</f>
        <v>0</v>
      </c>
      <c r="G119" s="60">
        <f t="shared" si="318"/>
        <v>40000000</v>
      </c>
      <c r="H119" s="60">
        <f t="shared" si="318"/>
        <v>40000000</v>
      </c>
      <c r="I119" s="60">
        <f t="shared" si="318"/>
        <v>0</v>
      </c>
      <c r="J119" s="60">
        <f t="shared" si="318"/>
        <v>40000000</v>
      </c>
      <c r="K119" s="60">
        <f t="shared" si="318"/>
        <v>0</v>
      </c>
      <c r="L119" s="60">
        <f t="shared" si="318"/>
        <v>39644000</v>
      </c>
      <c r="M119" s="61">
        <f t="shared" si="157"/>
        <v>0.99109999999999998</v>
      </c>
      <c r="N119" s="60">
        <f t="shared" si="318"/>
        <v>0</v>
      </c>
      <c r="O119" s="60">
        <f t="shared" si="318"/>
        <v>21060178</v>
      </c>
      <c r="P119" s="61">
        <f t="shared" si="158"/>
        <v>0.52650445000000001</v>
      </c>
      <c r="Q119" s="84">
        <f t="shared" si="318"/>
        <v>39644000</v>
      </c>
      <c r="R119" s="84">
        <f t="shared" si="318"/>
        <v>39644000</v>
      </c>
      <c r="S119" s="179">
        <f t="shared" si="318"/>
        <v>0</v>
      </c>
      <c r="T119" s="84">
        <f t="shared" si="318"/>
        <v>0</v>
      </c>
      <c r="U119" s="84">
        <f t="shared" si="318"/>
        <v>0</v>
      </c>
      <c r="V119" s="84">
        <f t="shared" si="318"/>
        <v>39644000</v>
      </c>
      <c r="W119" s="84">
        <f t="shared" si="318"/>
        <v>39644000</v>
      </c>
      <c r="X119" s="179">
        <f t="shared" si="318"/>
        <v>0</v>
      </c>
      <c r="Y119" s="84">
        <f t="shared" si="318"/>
        <v>0</v>
      </c>
      <c r="Z119" s="84">
        <f t="shared" si="318"/>
        <v>21060178</v>
      </c>
      <c r="AA119" s="84">
        <f t="shared" si="318"/>
        <v>21060178</v>
      </c>
      <c r="AB119" s="179">
        <f t="shared" si="318"/>
        <v>0</v>
      </c>
      <c r="AC119" s="84">
        <f t="shared" si="318"/>
        <v>0</v>
      </c>
      <c r="AD119" s="84">
        <f t="shared" si="318"/>
        <v>18583822</v>
      </c>
      <c r="AE119" s="180">
        <f t="shared" si="261"/>
        <v>8</v>
      </c>
      <c r="AG119" s="180">
        <v>39644000</v>
      </c>
      <c r="AH119" s="180">
        <v>39644000</v>
      </c>
      <c r="AI119" s="180">
        <v>21060178</v>
      </c>
      <c r="AK119" s="168">
        <f t="shared" si="159"/>
        <v>0</v>
      </c>
      <c r="AL119" s="182"/>
    </row>
    <row r="120" spans="1:38" s="177" customFormat="1" x14ac:dyDescent="0.2">
      <c r="A120" s="66" t="s">
        <v>112</v>
      </c>
      <c r="B120" s="66" t="str">
        <f t="shared" si="155"/>
        <v>COMERCIAL</v>
      </c>
      <c r="C120" s="67" t="s">
        <v>295</v>
      </c>
      <c r="D120" s="71" t="s">
        <v>296</v>
      </c>
      <c r="E120" s="68">
        <f>VLOOKUP($C120,DATOS!$A$1:$O$1101,3,FALSE)</f>
        <v>0</v>
      </c>
      <c r="F120" s="192">
        <f>VLOOKUP($C120,DATOS!$A$1:$O$1101,4,FALSE)</f>
        <v>0</v>
      </c>
      <c r="G120" s="68">
        <f>VLOOKUP($C120,DATOS!$A$1:$O$1101,5,FALSE)</f>
        <v>40000000</v>
      </c>
      <c r="H120" s="68">
        <f t="shared" si="171"/>
        <v>40000000</v>
      </c>
      <c r="I120" s="68">
        <f>VLOOKUP($C120,DATOS!$A$1:$O$1101,7,FALSE)</f>
        <v>0</v>
      </c>
      <c r="J120" s="68">
        <f t="shared" si="172"/>
        <v>40000000</v>
      </c>
      <c r="K120" s="68">
        <f>VLOOKUP($C120,DATOS!$A$1:$O$1101,9,FALSE)</f>
        <v>0</v>
      </c>
      <c r="L120" s="68">
        <f>VLOOKUP($C120,DATOS!$A$1:$O$1101,10,FALSE)</f>
        <v>39644000</v>
      </c>
      <c r="M120" s="69">
        <f t="shared" si="157"/>
        <v>0.99109999999999998</v>
      </c>
      <c r="N120" s="68">
        <f>VLOOKUP($C120,DATOS!$A$1:$O$1101,12,FALSE)</f>
        <v>0</v>
      </c>
      <c r="O120" s="68">
        <f>VLOOKUP($C120,DATOS!$A$1:$O$1101,13,FALSE)</f>
        <v>21060178</v>
      </c>
      <c r="P120" s="69">
        <f t="shared" si="158"/>
        <v>0.52650445000000001</v>
      </c>
      <c r="Q120" s="72">
        <f t="shared" ref="Q120" si="319">SUM(R120:S120)</f>
        <v>39644000</v>
      </c>
      <c r="R120" s="72">
        <f t="shared" ref="R120" si="320">AG120</f>
        <v>39644000</v>
      </c>
      <c r="S120" s="97">
        <v>0</v>
      </c>
      <c r="T120" s="72">
        <f t="shared" ref="T120" si="321">+Q120-L120</f>
        <v>0</v>
      </c>
      <c r="U120" s="72">
        <f t="shared" ref="U120" si="322">+V120-L120</f>
        <v>0</v>
      </c>
      <c r="V120" s="72">
        <f t="shared" ref="V120" si="323">SUM(W120:X120)</f>
        <v>39644000</v>
      </c>
      <c r="W120" s="72">
        <f t="shared" ref="W120" si="324">AH120</f>
        <v>39644000</v>
      </c>
      <c r="X120" s="97">
        <v>0</v>
      </c>
      <c r="Y120" s="72">
        <f t="shared" ref="Y120" si="325">+L120-V120</f>
        <v>0</v>
      </c>
      <c r="Z120" s="72">
        <f t="shared" ref="Z120" si="326">SUM(AA120:AB120)</f>
        <v>21060178</v>
      </c>
      <c r="AA120" s="72">
        <f t="shared" ref="AA120" si="327">AI120</f>
        <v>21060178</v>
      </c>
      <c r="AB120" s="97">
        <v>0</v>
      </c>
      <c r="AC120" s="72">
        <f t="shared" ref="AC120" si="328">+O120-Z120</f>
        <v>0</v>
      </c>
      <c r="AD120" s="72">
        <f t="shared" ref="AD120" si="329">+L120-O120</f>
        <v>18583822</v>
      </c>
      <c r="AE120" s="176"/>
      <c r="AG120" s="176">
        <v>39644000</v>
      </c>
      <c r="AH120" s="176">
        <v>39644000</v>
      </c>
      <c r="AI120" s="176">
        <v>21060178</v>
      </c>
      <c r="AK120" s="168">
        <f t="shared" si="159"/>
        <v>0</v>
      </c>
      <c r="AL120" s="178"/>
    </row>
    <row r="121" spans="1:38" hidden="1" x14ac:dyDescent="0.2">
      <c r="A121" s="75"/>
      <c r="B121" s="75" t="str">
        <f t="shared" si="155"/>
        <v>COMERCIAL</v>
      </c>
      <c r="C121" s="59" t="s">
        <v>92</v>
      </c>
      <c r="D121" s="57" t="s">
        <v>104</v>
      </c>
      <c r="E121" s="63">
        <f>DATOS!C114</f>
        <v>124997973000</v>
      </c>
      <c r="F121" s="167">
        <f>DATOS!D114</f>
        <v>0</v>
      </c>
      <c r="G121" s="63">
        <f>DATOS!E114</f>
        <v>128246401511</v>
      </c>
      <c r="H121" s="63">
        <f t="shared" si="171"/>
        <v>253244374511</v>
      </c>
      <c r="I121" s="63">
        <f>DATOS!G114</f>
        <v>0</v>
      </c>
      <c r="J121" s="63">
        <f t="shared" si="172"/>
        <v>253244374511</v>
      </c>
      <c r="K121" s="63">
        <f>DATOS!I114</f>
        <v>0</v>
      </c>
      <c r="L121" s="63">
        <f>DATOS!J114</f>
        <v>0</v>
      </c>
      <c r="M121" s="64">
        <f t="shared" si="157"/>
        <v>0</v>
      </c>
      <c r="N121" s="63">
        <f>DATOS!L114</f>
        <v>0</v>
      </c>
      <c r="O121" s="63">
        <f>DATOS!M114</f>
        <v>0</v>
      </c>
      <c r="P121" s="64">
        <f t="shared" si="158"/>
        <v>0</v>
      </c>
      <c r="Q121" s="75">
        <v>0</v>
      </c>
      <c r="R121" s="75">
        <v>0</v>
      </c>
      <c r="S121" s="84">
        <v>0</v>
      </c>
      <c r="T121" s="75">
        <f>+Q121-L121</f>
        <v>0</v>
      </c>
      <c r="U121" s="75">
        <f>+V121-L121</f>
        <v>0</v>
      </c>
      <c r="V121" s="75">
        <f t="shared" si="309"/>
        <v>0</v>
      </c>
      <c r="W121" s="75">
        <v>0</v>
      </c>
      <c r="X121" s="84">
        <v>0</v>
      </c>
      <c r="Y121" s="75">
        <f t="shared" si="176"/>
        <v>0</v>
      </c>
      <c r="Z121" s="75">
        <f t="shared" si="177"/>
        <v>0</v>
      </c>
      <c r="AA121" s="75">
        <v>0</v>
      </c>
      <c r="AB121" s="75">
        <v>0</v>
      </c>
      <c r="AC121" s="75">
        <f t="shared" si="178"/>
        <v>0</v>
      </c>
      <c r="AD121" s="75">
        <f>+L121-O121</f>
        <v>0</v>
      </c>
      <c r="AE121" s="29">
        <f t="shared" si="261"/>
        <v>2</v>
      </c>
      <c r="AG121" s="29">
        <v>0</v>
      </c>
      <c r="AH121" s="29">
        <v>0</v>
      </c>
      <c r="AI121" s="29">
        <v>0</v>
      </c>
      <c r="AK121" s="168">
        <f t="shared" si="159"/>
        <v>0</v>
      </c>
      <c r="AL121" s="168"/>
    </row>
    <row r="122" spans="1:38" hidden="1" x14ac:dyDescent="0.2">
      <c r="A122" s="75"/>
      <c r="B122" s="75"/>
      <c r="C122" s="62"/>
      <c r="D122" s="23" t="s">
        <v>97</v>
      </c>
      <c r="E122" s="21">
        <f t="shared" ref="E122:O122" si="330">+E10+E121</f>
        <v>663476077000</v>
      </c>
      <c r="F122" s="21">
        <f t="shared" si="330"/>
        <v>0</v>
      </c>
      <c r="G122" s="21">
        <f t="shared" si="330"/>
        <v>199541810551</v>
      </c>
      <c r="H122" s="21">
        <f t="shared" si="330"/>
        <v>863017887551</v>
      </c>
      <c r="I122" s="21">
        <f t="shared" si="330"/>
        <v>0</v>
      </c>
      <c r="J122" s="21">
        <f t="shared" si="330"/>
        <v>863017887551</v>
      </c>
      <c r="K122" s="21">
        <f t="shared" si="330"/>
        <v>53272921733</v>
      </c>
      <c r="L122" s="21">
        <f t="shared" si="330"/>
        <v>421183692563</v>
      </c>
      <c r="M122" s="190">
        <f t="shared" si="157"/>
        <v>0.48803587809541221</v>
      </c>
      <c r="N122" s="21">
        <f t="shared" si="330"/>
        <v>36065865538</v>
      </c>
      <c r="O122" s="21">
        <f t="shared" si="330"/>
        <v>136158106773</v>
      </c>
      <c r="P122" s="190">
        <f t="shared" si="158"/>
        <v>0.15776973888615228</v>
      </c>
      <c r="Q122" s="21">
        <f t="shared" si="173"/>
        <v>421183692563</v>
      </c>
      <c r="R122" s="21">
        <f>+R10+R121</f>
        <v>403641010301</v>
      </c>
      <c r="S122" s="21">
        <f>+S10+S121</f>
        <v>17542682262</v>
      </c>
      <c r="T122" s="21">
        <f>+T10+T121</f>
        <v>0</v>
      </c>
      <c r="U122" s="21">
        <f>+U10+U121</f>
        <v>0</v>
      </c>
      <c r="V122" s="21">
        <f t="shared" si="309"/>
        <v>421183692563</v>
      </c>
      <c r="W122" s="21">
        <f t="shared" ref="W122:AB122" si="331">+W10+W121</f>
        <v>367910770830</v>
      </c>
      <c r="X122" s="101">
        <f t="shared" si="331"/>
        <v>53272921733</v>
      </c>
      <c r="Y122" s="101">
        <f t="shared" si="331"/>
        <v>0</v>
      </c>
      <c r="Z122" s="101">
        <f t="shared" si="331"/>
        <v>136158106773</v>
      </c>
      <c r="AA122" s="101">
        <f t="shared" si="331"/>
        <v>100092241235</v>
      </c>
      <c r="AB122" s="101">
        <f t="shared" si="331"/>
        <v>36065865538</v>
      </c>
      <c r="AC122" s="21">
        <f t="shared" si="178"/>
        <v>0</v>
      </c>
      <c r="AD122" s="21">
        <f>+AD10+AD121</f>
        <v>285025585790</v>
      </c>
      <c r="AE122" s="29">
        <f t="shared" si="261"/>
        <v>0</v>
      </c>
      <c r="AG122" s="29">
        <v>403641010301</v>
      </c>
      <c r="AH122" s="29">
        <v>367910770830</v>
      </c>
      <c r="AI122" s="29">
        <v>100092241235</v>
      </c>
      <c r="AK122" s="168"/>
    </row>
    <row r="123" spans="1:38" hidden="1" x14ac:dyDescent="0.2">
      <c r="R123" s="24" t="s">
        <v>119</v>
      </c>
      <c r="S123" s="98">
        <v>60887063647</v>
      </c>
      <c r="T123" s="24"/>
      <c r="U123" s="24"/>
      <c r="V123" s="24"/>
      <c r="W123" s="24" t="s">
        <v>123</v>
      </c>
      <c r="X123" s="102">
        <v>53435081777</v>
      </c>
      <c r="Y123" s="24"/>
      <c r="Z123" s="24"/>
    </row>
    <row r="124" spans="1:38" hidden="1" x14ac:dyDescent="0.2">
      <c r="Q124" s="4">
        <v>385137573668</v>
      </c>
      <c r="R124" s="24"/>
      <c r="S124" s="103">
        <f>+S123-S122</f>
        <v>43344381385</v>
      </c>
      <c r="T124" s="24"/>
      <c r="U124" s="24"/>
      <c r="V124" s="24"/>
      <c r="W124" s="24"/>
      <c r="X124" s="103">
        <f>+X123-X122</f>
        <v>162160044</v>
      </c>
      <c r="Y124" s="24"/>
      <c r="Z124" s="24"/>
    </row>
    <row r="125" spans="1:38" hidden="1" x14ac:dyDescent="0.2">
      <c r="E125" s="183" t="s">
        <v>303</v>
      </c>
      <c r="F125" s="183" t="s">
        <v>304</v>
      </c>
      <c r="G125" s="183" t="s">
        <v>305</v>
      </c>
      <c r="H125" s="183" t="s">
        <v>306</v>
      </c>
      <c r="N125" s="29">
        <f>+N117+N118</f>
        <v>8124563245</v>
      </c>
      <c r="Q125" s="29">
        <f>+Q124-Q122</f>
        <v>-36046118895</v>
      </c>
      <c r="R125" s="24" t="s">
        <v>120</v>
      </c>
      <c r="S125" s="99">
        <v>15326456519</v>
      </c>
      <c r="T125" s="24"/>
      <c r="U125" s="24"/>
      <c r="V125" s="24"/>
      <c r="W125" s="24" t="s">
        <v>124</v>
      </c>
      <c r="X125" s="98">
        <v>121933044</v>
      </c>
      <c r="Y125" s="24"/>
      <c r="Z125" s="24"/>
    </row>
    <row r="126" spans="1:38" hidden="1" x14ac:dyDescent="0.2">
      <c r="C126" s="184" t="s">
        <v>307</v>
      </c>
      <c r="D126" s="184" t="s">
        <v>308</v>
      </c>
      <c r="E126" s="185">
        <f>SUM(E127:E129)</f>
        <v>369904876000</v>
      </c>
      <c r="F126" s="185">
        <f t="shared" ref="F126:H126" si="332">SUM(F127:F129)</f>
        <v>378487925163</v>
      </c>
      <c r="G126" s="185">
        <f t="shared" si="332"/>
        <v>190601115383</v>
      </c>
      <c r="H126" s="185">
        <f t="shared" si="332"/>
        <v>91793871669</v>
      </c>
      <c r="N126" s="4">
        <v>4554812030</v>
      </c>
      <c r="O126" s="29"/>
      <c r="R126" s="24" t="s">
        <v>121</v>
      </c>
      <c r="S126" s="100">
        <f>+S124-S125</f>
        <v>28017924866</v>
      </c>
      <c r="T126" s="24" t="s">
        <v>317</v>
      </c>
      <c r="U126" s="24"/>
      <c r="V126" s="24"/>
      <c r="W126" s="24" t="s">
        <v>235</v>
      </c>
      <c r="X126" s="100">
        <f>+X124-X125</f>
        <v>40227000</v>
      </c>
      <c r="Y126" s="24"/>
      <c r="Z126" s="24"/>
    </row>
    <row r="127" spans="1:38" hidden="1" x14ac:dyDescent="0.2">
      <c r="C127" s="188" t="s">
        <v>111</v>
      </c>
      <c r="D127" s="188" t="s">
        <v>309</v>
      </c>
      <c r="E127" s="189">
        <f>SUMIFS($E$9:$E$122,$A$9:$A$122,"F100",$B$9:$B$122,"FUNCIONAMIENTO")</f>
        <v>45332098000</v>
      </c>
      <c r="F127" s="189">
        <f>SUMIFS($J$9:$J$122,$A$9:$A$122,"F100",$B$9:$B$122,"FUNCIONAMIENTO")</f>
        <v>54852032049</v>
      </c>
      <c r="G127" s="189">
        <f>SUMIFS($L$9:$L$122,$A$9:$A$122,"F100",$B$9:$B$122,"FUNCIONAMIENTO")</f>
        <v>40231564959</v>
      </c>
      <c r="H127" s="189">
        <f>SUMIFS($O$9:$O$122,$A$9:$A$122,"F100",$B$9:$B$122,"FUNCIONAMIENTO")</f>
        <v>34049277466</v>
      </c>
      <c r="N127" s="29">
        <f>+N126-N125</f>
        <v>-3569751215</v>
      </c>
      <c r="T127" s="29"/>
    </row>
    <row r="128" spans="1:38" hidden="1" x14ac:dyDescent="0.2">
      <c r="C128" s="188" t="s">
        <v>111</v>
      </c>
      <c r="D128" s="188" t="s">
        <v>310</v>
      </c>
      <c r="E128" s="189">
        <f>SUMIFS($E$9:$E$122,$A$9:$A$122,"F100",$B$9:$B$122,"INVERSION")</f>
        <v>97372133000</v>
      </c>
      <c r="F128" s="189">
        <f>SUMIFS($J$9:$J$122,$A$9:$A$122,"F100",$B$9:$B$122,"INVERSION")</f>
        <v>105344892647</v>
      </c>
      <c r="G128" s="189">
        <f>SUMIFS($L$9:$L$122,$A$9:$A$122,"F100",$B$9:$B$122,"INVERSION")</f>
        <v>91458197319</v>
      </c>
      <c r="H128" s="189">
        <f>SUMIFS($O$9:$O$122,$A$9:$A$122,"F100",$B$9:$B$122,"INVERSION")</f>
        <v>23894094947</v>
      </c>
    </row>
    <row r="129" spans="3:28" hidden="1" x14ac:dyDescent="0.2">
      <c r="C129" s="188" t="s">
        <v>111</v>
      </c>
      <c r="D129" s="188" t="s">
        <v>311</v>
      </c>
      <c r="E129" s="189">
        <f>SUMIFS($E$9:$E$122,$A$9:$A$122,"F100",$B$9:$B$122,"COMERCIAL")</f>
        <v>227200645000</v>
      </c>
      <c r="F129" s="189">
        <f>SUMIFS($J$9:$J$122,$A$9:$A$122,"F100",$B$9:$B$122,"COMERCIAL")</f>
        <v>218291000467</v>
      </c>
      <c r="G129" s="189">
        <f>SUMIFS($L$9:$L$122,$A$9:$A$122,"F100",$B$9:$B$122,"COMERCIAL")</f>
        <v>58911353105</v>
      </c>
      <c r="H129" s="189">
        <f>SUMIFS($O$9:$O$122,$A$9:$A$122,"F100",$B$9:$B$122,"COMERCIAL")</f>
        <v>33850499256</v>
      </c>
      <c r="AB129" s="4"/>
    </row>
    <row r="130" spans="3:28" hidden="1" x14ac:dyDescent="0.2">
      <c r="C130" s="186" t="s">
        <v>312</v>
      </c>
      <c r="D130" s="186" t="s">
        <v>308</v>
      </c>
      <c r="E130" s="187">
        <f>SUM(E131:E133)</f>
        <v>168573228000</v>
      </c>
      <c r="F130" s="187">
        <f t="shared" ref="F130:H130" si="333">SUM(F131:F133)</f>
        <v>231285587877</v>
      </c>
      <c r="G130" s="187">
        <f t="shared" si="333"/>
        <v>230582577180</v>
      </c>
      <c r="H130" s="187">
        <f t="shared" si="333"/>
        <v>44364235104</v>
      </c>
      <c r="W130" s="17"/>
    </row>
    <row r="131" spans="3:28" hidden="1" x14ac:dyDescent="0.2">
      <c r="C131" s="188" t="s">
        <v>112</v>
      </c>
      <c r="D131" s="188" t="s">
        <v>309</v>
      </c>
      <c r="E131" s="189">
        <f>SUMIFS($E$9:$E$122,$A$9:$A$122,"F200",$B$9:$B$122,"FUNCIONAMIENTO")</f>
        <v>8573228000</v>
      </c>
      <c r="F131" s="189">
        <f>SUMIFS($J$9:$J$122,$A$9:$A$122,"F200",$B$9:$B$122,"FUNCIONAMIENTO")</f>
        <v>4069538558</v>
      </c>
      <c r="G131" s="189">
        <f>SUMIFS($L$9:$L$122,$A$9:$A$122,"F200",$B$9:$B$122,"FUNCIONAMIENTO")</f>
        <v>3843404701</v>
      </c>
      <c r="H131" s="189">
        <f>SUMIFS($O$9:$O$122,$A$9:$A$122,"F200",$B$9:$B$122,"FUNCIONAMIENTO")</f>
        <v>3491722071</v>
      </c>
    </row>
    <row r="132" spans="3:28" hidden="1" x14ac:dyDescent="0.2">
      <c r="C132" s="188" t="s">
        <v>112</v>
      </c>
      <c r="D132" s="188" t="s">
        <v>310</v>
      </c>
      <c r="E132" s="189">
        <f>SUMIFS($E$9:$E$122,$A$9:$A$122,"F200",$B$9:$B$122,"INVERSION")</f>
        <v>80000000000</v>
      </c>
      <c r="F132" s="189">
        <f>SUMIFS($J$9:$J$122,$A$9:$A$122,"F200",$B$9:$B$122,"INVERSION")</f>
        <v>186051191462</v>
      </c>
      <c r="G132" s="189">
        <f>SUMIFS($L$9:$L$122,$A$9:$A$122,"F200",$B$9:$B$122,"INVERSION")</f>
        <v>185924854387</v>
      </c>
      <c r="H132" s="189">
        <f>SUMIFS($O$9:$O$122,$A$9:$A$122,"F200",$B$9:$B$122,"INVERSION")</f>
        <v>14198756059</v>
      </c>
    </row>
    <row r="133" spans="3:28" hidden="1" x14ac:dyDescent="0.2">
      <c r="C133" s="188" t="s">
        <v>112</v>
      </c>
      <c r="D133" s="188" t="s">
        <v>311</v>
      </c>
      <c r="E133" s="189">
        <f>SUMIFS($E$9:$E$122,$A$9:$A$122,"F200",$B$9:$B$122,"COMERCIAL")</f>
        <v>80000000000</v>
      </c>
      <c r="F133" s="189">
        <f>SUMIFS($J$9:$J$122,$A$9:$A$122,"F200",$B$9:$B$122,"COMERCIAL")</f>
        <v>41164857857</v>
      </c>
      <c r="G133" s="189">
        <f>SUMIFS($L$9:$L$122,$A$9:$A$122,"F200",$B$9:$B$122,"COMERCIAL")</f>
        <v>40814318092</v>
      </c>
      <c r="H133" s="189">
        <f>SUMIFS($O$9:$O$122,$A$9:$A$122,"F200",$B$9:$B$122,"COMERCIAL")</f>
        <v>26673756974</v>
      </c>
    </row>
  </sheetData>
  <autoFilter ref="A9:AE133" xr:uid="{00000000-0001-0000-0200-000000000000}">
    <filterColumn colId="18">
      <colorFilter dxfId="0"/>
    </filterColumn>
  </autoFilter>
  <pageMargins left="0.75" right="0.75" top="1" bottom="1" header="0.5" footer="0.5"/>
  <pageSetup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DATOS</vt:lpstr>
      <vt:lpstr>FIRMA FORMULA</vt:lpstr>
      <vt:lpstr>SAP BOGDATA</vt:lpstr>
      <vt:lpstr>'FIRMA FORMULA'!Área_de_impresión</vt:lpstr>
      <vt:lpstr>'FIRMA FORMULA'!Títulos_a_imprimir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Adaulfo Alfonso Avila Fuentes</dc:creator>
  <cp:lastModifiedBy>William Alexander Valencia Nemocón</cp:lastModifiedBy>
  <cp:lastPrinted>2024-04-05T20:14:57Z</cp:lastPrinted>
  <dcterms:created xsi:type="dcterms:W3CDTF">2022-03-01T14:59:00Z</dcterms:created>
  <dcterms:modified xsi:type="dcterms:W3CDTF">2026-01-16T14:06:01Z</dcterms:modified>
</cp:coreProperties>
</file>