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ivotTables/pivotTable1.xml" ContentType="application/vnd.openxmlformats-officedocument.spreadsheetml.pivotTable+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win 11 ultimate\Desktop\Plan de Accion\PLAN DE ACCION REPORTE INDICADORES\"/>
    </mc:Choice>
  </mc:AlternateContent>
  <bookViews>
    <workbookView xWindow="0" yWindow="0" windowWidth="20490" windowHeight="6930" firstSheet="10" activeTab="13"/>
  </bookViews>
  <sheets>
    <sheet name="MENU CAJA DE HERRAMIENTAS" sheetId="4" r:id="rId1"/>
    <sheet name="Resumen PAA 2023" sheetId="22" r:id="rId2"/>
    <sheet name="Organigrama" sheetId="21" r:id="rId3"/>
    <sheet name="GLOSARIO" sheetId="6" r:id="rId4"/>
    <sheet name="MIPPA 1" sheetId="17" r:id="rId5"/>
    <sheet name="CONOCIMIENTO ENT" sheetId="9" r:id="rId6"/>
    <sheet name="PRIORIZACIÓN (2)" sheetId="20" r:id="rId7"/>
    <sheet name="MIPPA 1.1" sheetId="19" r:id="rId8"/>
    <sheet name="ANALISIS OCI" sheetId="3" r:id="rId9"/>
    <sheet name="MET CALCULO RECURSOS" sheetId="11" r:id="rId10"/>
    <sheet name="1. Horas requeridas PAAI" sheetId="12" r:id="rId11"/>
    <sheet name="MIPPA 2" sheetId="18" r:id="rId12"/>
    <sheet name="2. Días -horas hábiles x vig" sheetId="13" r:id="rId13"/>
    <sheet name="PAA OCI  " sheetId="5" r:id="rId14"/>
    <sheet name="PRIORIZACIÓN" sheetId="1" r:id="rId15"/>
  </sheets>
  <externalReferences>
    <externalReference r:id="rId16"/>
    <externalReference r:id="rId17"/>
  </externalReferences>
  <definedNames>
    <definedName name="_xlnm._FilterDatabase" localSheetId="8" hidden="1">'ANALISIS OCI'!$C$9:$C$88</definedName>
    <definedName name="_xlnm._FilterDatabase" localSheetId="3" hidden="1">GLOSARIO!$A$1:$A$3</definedName>
    <definedName name="_xlnm._FilterDatabase" localSheetId="13" hidden="1">'PAA OCI  '!$A$12:$DC$93</definedName>
    <definedName name="_xlnm._FilterDatabase" localSheetId="14" hidden="1">PRIORIZACIÓN!$Q$12:$Q$29</definedName>
    <definedName name="_ftn1" localSheetId="3">GLOSARIO!$A$19</definedName>
    <definedName name="_ftn2" localSheetId="3">GLOSARIO!$A$21</definedName>
    <definedName name="_ftn3" localSheetId="3">GLOSARIO!$A$22</definedName>
    <definedName name="_ftn4" localSheetId="3">GLOSARIO!$A$23</definedName>
    <definedName name="_ftn5" localSheetId="3">GLOSARIO!$A$24</definedName>
    <definedName name="_ftn6" localSheetId="3">GLOSARIO!$A$25</definedName>
    <definedName name="_ftn7" localSheetId="3">GLOSARIO!$A$26</definedName>
    <definedName name="_ftn8" localSheetId="3">GLOSARIO!$A$27</definedName>
    <definedName name="_ftnref1" localSheetId="3">GLOSARIO!$A$4</definedName>
    <definedName name="_ftnref2" localSheetId="3">GLOSARIO!$A$6</definedName>
    <definedName name="_ftnref3" localSheetId="3">GLOSARIO!$A$7</definedName>
    <definedName name="_ftnref4" localSheetId="3">GLOSARIO!$A$8</definedName>
    <definedName name="_ftnref5" localSheetId="3">GLOSARIO!$A$9</definedName>
    <definedName name="_ftnref6" localSheetId="3">GLOSARIO!$A$11</definedName>
    <definedName name="_ftnref7" localSheetId="3">GLOSARIO!$A$12</definedName>
    <definedName name="_ftnref8" localSheetId="3">GLOSARIO!$A$13</definedName>
    <definedName name="_xlnm.Print_Area" localSheetId="13">'PAA OCI  '!$A$1:$Z$99</definedName>
    <definedName name="DOCUMENTO_RELACIONADO" comment="Registre el documento o soporte del ítem en cuestión. (Físico o Magnético)">'CONOCIMIENTO ENT'!$C$5</definedName>
    <definedName name="riskprob">[1]Lookup!$B$2:$B$5</definedName>
    <definedName name="_xlnm.Print_Titles" localSheetId="13">'PAA OCI  '!$12:$15</definedName>
  </definedNames>
  <calcPr calcId="162913"/>
  <pivotCaches>
    <pivotCache cacheId="0" r:id="rId1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2" l="1"/>
  <c r="I78" i="12" s="1"/>
  <c r="G77" i="12"/>
  <c r="I77" i="12" s="1"/>
  <c r="C78" i="12"/>
  <c r="C77" i="12"/>
  <c r="C76" i="12"/>
  <c r="C75" i="12"/>
  <c r="G76" i="12"/>
  <c r="I76" i="12" s="1"/>
  <c r="E54" i="12"/>
  <c r="B28" i="20" l="1"/>
  <c r="C29" i="12"/>
  <c r="G29" i="12"/>
  <c r="I29" i="12" s="1"/>
  <c r="G28" i="12"/>
  <c r="I28" i="12" s="1"/>
  <c r="G27" i="12"/>
  <c r="I27" i="12" s="1"/>
  <c r="G26" i="12"/>
  <c r="I26" i="12" s="1"/>
  <c r="G25" i="12"/>
  <c r="I25" i="12" s="1"/>
  <c r="G24" i="12"/>
  <c r="I24" i="12" s="1"/>
  <c r="G23" i="12"/>
  <c r="I23" i="12" s="1"/>
  <c r="C23" i="12"/>
  <c r="C24" i="12"/>
  <c r="C25" i="12"/>
  <c r="C26" i="12"/>
  <c r="C27" i="12"/>
  <c r="C28" i="12"/>
  <c r="A36" i="5" l="1"/>
  <c r="A38" i="5" s="1"/>
  <c r="K50" i="1" l="1"/>
  <c r="M50" i="1"/>
  <c r="N50" i="1"/>
  <c r="O50" i="1" s="1"/>
  <c r="P50" i="1" s="1"/>
  <c r="K51" i="1"/>
  <c r="M51" i="1"/>
  <c r="N51" i="1"/>
  <c r="O51" i="1" s="1"/>
  <c r="P51" i="1" s="1"/>
  <c r="K52" i="1"/>
  <c r="M52" i="1"/>
  <c r="N52" i="1"/>
  <c r="O52" i="1" s="1"/>
  <c r="P52" i="1" s="1"/>
  <c r="K53" i="1"/>
  <c r="M53" i="1"/>
  <c r="N53" i="1"/>
  <c r="O53" i="1" s="1"/>
  <c r="P53" i="1" s="1"/>
  <c r="K54" i="1"/>
  <c r="M54" i="1"/>
  <c r="N54" i="1"/>
  <c r="O54" i="1" s="1"/>
  <c r="P54" i="1" s="1"/>
  <c r="K55" i="1"/>
  <c r="M55" i="1"/>
  <c r="N55" i="1"/>
  <c r="O55" i="1" s="1"/>
  <c r="P55" i="1" s="1"/>
  <c r="B50" i="1"/>
  <c r="B51" i="1"/>
  <c r="B52" i="1"/>
  <c r="B53" i="1"/>
  <c r="B54" i="1"/>
  <c r="B55" i="1"/>
  <c r="A89" i="3" l="1"/>
  <c r="D89" i="3"/>
  <c r="F89" i="3"/>
  <c r="H89" i="3"/>
  <c r="J89" i="3"/>
  <c r="L89" i="3"/>
  <c r="N89" i="3"/>
  <c r="P89" i="3"/>
  <c r="Q89" i="3"/>
  <c r="R89" i="3"/>
  <c r="S89" i="3"/>
  <c r="T89" i="3"/>
  <c r="Y89" i="3" s="1"/>
  <c r="D91" i="20" s="1"/>
  <c r="U89" i="3"/>
  <c r="V89" i="3"/>
  <c r="W89" i="3"/>
  <c r="X89" i="3"/>
  <c r="A90" i="3"/>
  <c r="D90" i="3"/>
  <c r="F90" i="3"/>
  <c r="H90" i="3"/>
  <c r="J90" i="3"/>
  <c r="L90" i="3"/>
  <c r="N90" i="3"/>
  <c r="P90" i="3"/>
  <c r="Q90" i="3"/>
  <c r="R90" i="3"/>
  <c r="S90" i="3"/>
  <c r="T90" i="3"/>
  <c r="Y90" i="3" s="1"/>
  <c r="D92" i="20" s="1"/>
  <c r="U90" i="3"/>
  <c r="V90" i="3"/>
  <c r="W90" i="3"/>
  <c r="X90" i="3"/>
  <c r="C92" i="20" s="1"/>
  <c r="N51" i="3"/>
  <c r="L51" i="3"/>
  <c r="J51" i="3"/>
  <c r="H51" i="3"/>
  <c r="F51" i="3"/>
  <c r="D51" i="3"/>
  <c r="AA90" i="3" l="1"/>
  <c r="F92" i="20" s="1"/>
  <c r="AA89" i="3"/>
  <c r="F91" i="20" s="1"/>
  <c r="C91" i="20"/>
  <c r="Z90" i="3"/>
  <c r="E92" i="20" s="1"/>
  <c r="Z89" i="3"/>
  <c r="E91" i="20" s="1"/>
  <c r="B24" i="20"/>
  <c r="B25" i="20"/>
  <c r="B26" i="20"/>
  <c r="B27" i="20"/>
  <c r="N29" i="20"/>
  <c r="P29" i="20"/>
  <c r="R29" i="20"/>
  <c r="N30" i="20"/>
  <c r="P30" i="20"/>
  <c r="R30" i="20"/>
  <c r="N31" i="20"/>
  <c r="P31" i="20"/>
  <c r="R31" i="20"/>
  <c r="N32" i="20"/>
  <c r="P32" i="20"/>
  <c r="R32" i="20"/>
  <c r="N33" i="20"/>
  <c r="P33" i="20"/>
  <c r="R33" i="20"/>
  <c r="N34" i="20"/>
  <c r="P34" i="20"/>
  <c r="R34" i="20"/>
  <c r="N35" i="20"/>
  <c r="P35" i="20"/>
  <c r="R35" i="20"/>
  <c r="N36" i="20"/>
  <c r="P36" i="20"/>
  <c r="R36" i="20"/>
  <c r="N37" i="20"/>
  <c r="P37" i="20"/>
  <c r="R37" i="20"/>
  <c r="N38" i="20"/>
  <c r="P38" i="20"/>
  <c r="R38" i="20"/>
  <c r="N39" i="20"/>
  <c r="P39" i="20"/>
  <c r="R39" i="20"/>
  <c r="N40" i="20"/>
  <c r="P40" i="20"/>
  <c r="R40" i="20"/>
  <c r="N41" i="20"/>
  <c r="P41" i="20"/>
  <c r="R41" i="20"/>
  <c r="N42" i="20"/>
  <c r="P42" i="20"/>
  <c r="R42" i="20"/>
  <c r="N43" i="20"/>
  <c r="P43" i="20"/>
  <c r="R43" i="20"/>
  <c r="N44" i="20"/>
  <c r="P44" i="20"/>
  <c r="R44" i="20"/>
  <c r="N45" i="20"/>
  <c r="P45" i="20"/>
  <c r="R45" i="20"/>
  <c r="N46" i="20"/>
  <c r="P46" i="20"/>
  <c r="R46" i="20"/>
  <c r="N47" i="20"/>
  <c r="P47" i="20"/>
  <c r="R47" i="20"/>
  <c r="N48" i="20"/>
  <c r="P48" i="20"/>
  <c r="R48" i="20"/>
  <c r="N49" i="20"/>
  <c r="P49" i="20"/>
  <c r="R49" i="20"/>
  <c r="N50" i="20"/>
  <c r="P50" i="20"/>
  <c r="R50" i="20"/>
  <c r="N51" i="20"/>
  <c r="P51" i="20"/>
  <c r="R51" i="20"/>
  <c r="N52" i="20"/>
  <c r="P52" i="20"/>
  <c r="R52" i="20"/>
  <c r="N53" i="20"/>
  <c r="P53" i="20"/>
  <c r="R53" i="20"/>
  <c r="N54" i="20"/>
  <c r="P54" i="20"/>
  <c r="R54" i="20"/>
  <c r="B12" i="20"/>
  <c r="B13" i="20"/>
  <c r="B14" i="20"/>
  <c r="B15" i="20"/>
  <c r="B16" i="20"/>
  <c r="B17" i="20"/>
  <c r="B18" i="20"/>
  <c r="B19" i="20"/>
  <c r="B20" i="20"/>
  <c r="B21" i="20"/>
  <c r="B22" i="20"/>
  <c r="B23" i="20"/>
  <c r="C30" i="12"/>
  <c r="AB90" i="3" l="1"/>
  <c r="AC90" i="3" s="1"/>
  <c r="J92" i="20" s="1"/>
  <c r="K92" i="20" s="1"/>
  <c r="AB89" i="3"/>
  <c r="AC89" i="3" s="1"/>
  <c r="J91" i="20" s="1"/>
  <c r="K91" i="20" s="1"/>
  <c r="A39" i="5"/>
  <c r="A40" i="5" l="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V10" i="3"/>
  <c r="S9" i="3"/>
  <c r="A73" i="5" l="1"/>
  <c r="A74" i="5" s="1"/>
  <c r="A75" i="5" s="1"/>
  <c r="A77" i="5" s="1"/>
  <c r="A78" i="5" s="1"/>
  <c r="A79" i="5" s="1"/>
  <c r="A80" i="5" l="1"/>
  <c r="A81" i="5" s="1"/>
  <c r="A82" i="5" s="1"/>
  <c r="A83" i="5" s="1"/>
  <c r="A84" i="5" s="1"/>
  <c r="A85" i="5" s="1"/>
  <c r="C73" i="12"/>
  <c r="C74" i="12"/>
  <c r="G62" i="12"/>
  <c r="I62" i="12" s="1"/>
  <c r="G61" i="12"/>
  <c r="I61" i="12" s="1"/>
  <c r="C61" i="12"/>
  <c r="C62" i="12"/>
  <c r="A86" i="5" l="1"/>
  <c r="G60" i="12"/>
  <c r="I60" i="12" s="1"/>
  <c r="G63" i="12"/>
  <c r="I63" i="12" s="1"/>
  <c r="C60" i="12"/>
  <c r="C63" i="12"/>
  <c r="G58" i="12"/>
  <c r="I58" i="12" s="1"/>
  <c r="C58" i="12"/>
  <c r="G17" i="12" l="1"/>
  <c r="I17" i="12" s="1"/>
  <c r="G18" i="12"/>
  <c r="I18" i="12" s="1"/>
  <c r="G19" i="12"/>
  <c r="I19" i="12" s="1"/>
  <c r="G20" i="12"/>
  <c r="I20" i="12" s="1"/>
  <c r="G21" i="12"/>
  <c r="I21" i="12" s="1"/>
  <c r="G22" i="12"/>
  <c r="I22" i="12" s="1"/>
  <c r="C13" i="12"/>
  <c r="C14" i="12"/>
  <c r="C15" i="12"/>
  <c r="C16" i="12"/>
  <c r="C17" i="12"/>
  <c r="C18" i="12"/>
  <c r="C19" i="12"/>
  <c r="C20" i="12"/>
  <c r="C21" i="12"/>
  <c r="C22" i="12"/>
  <c r="N35" i="1"/>
  <c r="O35" i="1" s="1"/>
  <c r="P35" i="1" s="1"/>
  <c r="N36" i="1"/>
  <c r="O36" i="1" s="1"/>
  <c r="P36" i="1" s="1"/>
  <c r="N37" i="1"/>
  <c r="O37" i="1" s="1"/>
  <c r="P37" i="1" s="1"/>
  <c r="N38" i="1"/>
  <c r="O38" i="1" s="1"/>
  <c r="P38" i="1" s="1"/>
  <c r="N39" i="1"/>
  <c r="O39" i="1" s="1"/>
  <c r="P39" i="1" s="1"/>
  <c r="N40" i="1"/>
  <c r="O40" i="1" s="1"/>
  <c r="P40" i="1" s="1"/>
  <c r="N41" i="1"/>
  <c r="O41" i="1" s="1"/>
  <c r="P41" i="1" s="1"/>
  <c r="N42" i="1"/>
  <c r="O42" i="1" s="1"/>
  <c r="P42" i="1" s="1"/>
  <c r="N43" i="1"/>
  <c r="O43" i="1" s="1"/>
  <c r="P43" i="1" s="1"/>
  <c r="N44" i="1"/>
  <c r="O44" i="1" s="1"/>
  <c r="P44" i="1" s="1"/>
  <c r="N45" i="1"/>
  <c r="O45" i="1" s="1"/>
  <c r="P45" i="1" s="1"/>
  <c r="N46" i="1"/>
  <c r="O46" i="1" s="1"/>
  <c r="P46" i="1" s="1"/>
  <c r="N47" i="1"/>
  <c r="O47" i="1" s="1"/>
  <c r="P47" i="1" s="1"/>
  <c r="N48" i="1"/>
  <c r="O48" i="1" s="1"/>
  <c r="P48" i="1" s="1"/>
  <c r="N49" i="1"/>
  <c r="O49" i="1" s="1"/>
  <c r="P49" i="1" s="1"/>
  <c r="M49" i="1"/>
  <c r="K49" i="1"/>
  <c r="M48" i="1"/>
  <c r="K48" i="1"/>
  <c r="M47" i="1"/>
  <c r="K47" i="1"/>
  <c r="M46" i="1"/>
  <c r="K46" i="1"/>
  <c r="M45" i="1"/>
  <c r="K45" i="1"/>
  <c r="M44" i="1"/>
  <c r="K44" i="1"/>
  <c r="M43" i="1"/>
  <c r="K43" i="1"/>
  <c r="M42" i="1"/>
  <c r="K42" i="1"/>
  <c r="M41" i="1"/>
  <c r="K41" i="1"/>
  <c r="M40" i="1"/>
  <c r="K40" i="1"/>
  <c r="M39" i="1"/>
  <c r="K39" i="1"/>
  <c r="M38" i="1"/>
  <c r="K38" i="1"/>
  <c r="M37" i="1"/>
  <c r="K37" i="1"/>
  <c r="M36" i="1"/>
  <c r="K36" i="1"/>
  <c r="M35" i="1"/>
  <c r="K35" i="1"/>
  <c r="B35" i="1"/>
  <c r="B36" i="1"/>
  <c r="B37" i="1"/>
  <c r="B38" i="1"/>
  <c r="B39" i="1"/>
  <c r="B40" i="1"/>
  <c r="B41" i="1"/>
  <c r="B42" i="1"/>
  <c r="B43" i="1"/>
  <c r="B44" i="1"/>
  <c r="B45" i="1"/>
  <c r="B46" i="1"/>
  <c r="B47" i="1"/>
  <c r="B48" i="1"/>
  <c r="B49" i="1"/>
  <c r="N30" i="1"/>
  <c r="N31" i="1"/>
  <c r="N32" i="1"/>
  <c r="N33" i="1"/>
  <c r="N34" i="1"/>
  <c r="N46" i="3" l="1"/>
  <c r="L46" i="3"/>
  <c r="J46" i="3"/>
  <c r="H46" i="3"/>
  <c r="F46" i="3"/>
  <c r="D46" i="3"/>
  <c r="G79" i="12" l="1"/>
  <c r="I79" i="12" s="1"/>
  <c r="G80" i="12"/>
  <c r="I80" i="12" s="1"/>
  <c r="G81" i="12"/>
  <c r="I81" i="12" s="1"/>
  <c r="G82" i="12"/>
  <c r="I82" i="12" s="1"/>
  <c r="G83" i="12"/>
  <c r="I83" i="12" s="1"/>
  <c r="G84" i="12"/>
  <c r="I84" i="12" s="1"/>
  <c r="G85" i="12"/>
  <c r="I85" i="12" s="1"/>
  <c r="G86" i="12"/>
  <c r="I86" i="12" s="1"/>
  <c r="G87" i="12"/>
  <c r="I87" i="12" s="1"/>
  <c r="G88" i="12"/>
  <c r="I88" i="12" s="1"/>
  <c r="G89" i="12"/>
  <c r="I89" i="12" s="1"/>
  <c r="G90" i="12"/>
  <c r="I90" i="12" s="1"/>
  <c r="G91" i="12"/>
  <c r="I91" i="12" s="1"/>
  <c r="G92" i="12"/>
  <c r="I92" i="12" s="1"/>
  <c r="G93" i="12"/>
  <c r="I93" i="12" s="1"/>
  <c r="G94" i="12"/>
  <c r="I94" i="12" s="1"/>
  <c r="G95" i="12"/>
  <c r="I95" i="12" s="1"/>
  <c r="G96" i="12"/>
  <c r="I96" i="12" s="1"/>
  <c r="G97" i="12"/>
  <c r="I97" i="12" s="1"/>
  <c r="G98" i="12"/>
  <c r="I98" i="12" s="1"/>
  <c r="G99" i="12"/>
  <c r="I99" i="12" s="1"/>
  <c r="G100" i="12"/>
  <c r="I100" i="12" s="1"/>
  <c r="G101" i="12"/>
  <c r="I101" i="12" s="1"/>
  <c r="G102" i="12"/>
  <c r="I102" i="12" s="1"/>
  <c r="G103" i="12"/>
  <c r="I103" i="12" s="1"/>
  <c r="G104" i="12"/>
  <c r="I104" i="12" s="1"/>
  <c r="G105" i="12"/>
  <c r="I105" i="12" s="1"/>
  <c r="G106" i="12"/>
  <c r="I106" i="12" s="1"/>
  <c r="G107" i="12"/>
  <c r="I107" i="12" s="1"/>
  <c r="H108" i="12"/>
  <c r="C32" i="12" l="1"/>
  <c r="C31" i="12"/>
  <c r="C12" i="12"/>
  <c r="C66" i="12"/>
  <c r="C67" i="12"/>
  <c r="C68" i="12"/>
  <c r="C69" i="12"/>
  <c r="C70" i="12"/>
  <c r="C71" i="12"/>
  <c r="C72" i="12"/>
  <c r="AB51" i="5"/>
  <c r="B11" i="20"/>
  <c r="G71" i="12" l="1"/>
  <c r="I71" i="12" s="1"/>
  <c r="C36" i="12" l="1"/>
  <c r="G36" i="12" l="1"/>
  <c r="I36" i="12" s="1"/>
  <c r="B23" i="1"/>
  <c r="B24" i="1"/>
  <c r="B25" i="1"/>
  <c r="B26" i="1"/>
  <c r="B27" i="1"/>
  <c r="B28" i="1"/>
  <c r="B29" i="1"/>
  <c r="B30" i="1"/>
  <c r="B31" i="1"/>
  <c r="B32" i="1"/>
  <c r="B33" i="1"/>
  <c r="B34" i="1"/>
  <c r="G31" i="12"/>
  <c r="G32" i="12"/>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19" i="3"/>
  <c r="B20" i="1"/>
  <c r="A18" i="3"/>
  <c r="B13" i="1"/>
  <c r="B14" i="1"/>
  <c r="A12" i="3"/>
  <c r="B16" i="1"/>
  <c r="B17" i="1"/>
  <c r="B18" i="1"/>
  <c r="A16" i="3"/>
  <c r="A15" i="3" l="1"/>
  <c r="A13" i="3"/>
  <c r="A11" i="3"/>
  <c r="B21" i="1"/>
  <c r="B19" i="1"/>
  <c r="B15" i="1"/>
  <c r="A14" i="3"/>
  <c r="A10" i="3"/>
  <c r="B22" i="1"/>
  <c r="A17" i="3"/>
  <c r="G6" i="13" l="1"/>
  <c r="F49" i="12"/>
  <c r="E49" i="12"/>
  <c r="D49" i="12"/>
  <c r="F43" i="12"/>
  <c r="D43" i="12"/>
  <c r="F41" i="12"/>
  <c r="E41" i="12"/>
  <c r="F40" i="12"/>
  <c r="E40" i="12"/>
  <c r="F39" i="12"/>
  <c r="E39" i="12"/>
  <c r="F37" i="12"/>
  <c r="E37" i="12"/>
  <c r="D37" i="12"/>
  <c r="G33" i="12" l="1"/>
  <c r="G34" i="12"/>
  <c r="G35" i="12"/>
  <c r="G37" i="12"/>
  <c r="G38" i="12"/>
  <c r="G39" i="12"/>
  <c r="G40" i="12"/>
  <c r="G46" i="12"/>
  <c r="G51" i="12"/>
  <c r="G52" i="12"/>
  <c r="G53" i="12"/>
  <c r="G54" i="12"/>
  <c r="G55" i="12"/>
  <c r="G65" i="12"/>
  <c r="G66" i="12"/>
  <c r="G67" i="12"/>
  <c r="G70" i="12"/>
  <c r="G72" i="12"/>
  <c r="G73" i="12"/>
  <c r="G74" i="12"/>
  <c r="G75" i="12"/>
  <c r="C65" i="12"/>
  <c r="C64" i="12"/>
  <c r="C59" i="12"/>
  <c r="C34" i="12"/>
  <c r="C35" i="12"/>
  <c r="C37" i="12"/>
  <c r="C38" i="12"/>
  <c r="C39" i="12"/>
  <c r="C40" i="12"/>
  <c r="C41" i="12"/>
  <c r="C42" i="12"/>
  <c r="C43" i="12"/>
  <c r="C44" i="12"/>
  <c r="C45" i="12"/>
  <c r="C46" i="12"/>
  <c r="C47" i="12"/>
  <c r="C48" i="12"/>
  <c r="C49" i="12"/>
  <c r="C50" i="12"/>
  <c r="C51" i="12"/>
  <c r="C52" i="12"/>
  <c r="C53" i="12"/>
  <c r="C54" i="12"/>
  <c r="C55" i="12"/>
  <c r="C56" i="12"/>
  <c r="C57" i="12"/>
  <c r="C33" i="12"/>
  <c r="M20" i="1" l="1"/>
  <c r="N13" i="1"/>
  <c r="O13" i="1" s="1"/>
  <c r="P13" i="1" s="1"/>
  <c r="N14" i="1"/>
  <c r="O14" i="1" s="1"/>
  <c r="P14" i="1" s="1"/>
  <c r="N15" i="1"/>
  <c r="O15" i="1" s="1"/>
  <c r="P15" i="1" s="1"/>
  <c r="N16" i="1"/>
  <c r="O16" i="1" s="1"/>
  <c r="P16" i="1" s="1"/>
  <c r="N17" i="1"/>
  <c r="N18" i="1"/>
  <c r="O18" i="1" s="1"/>
  <c r="P18" i="1" s="1"/>
  <c r="N19" i="1"/>
  <c r="O19" i="1" s="1"/>
  <c r="P19" i="1" s="1"/>
  <c r="N20" i="1"/>
  <c r="O20" i="1" s="1"/>
  <c r="P20" i="1" s="1"/>
  <c r="N21" i="1"/>
  <c r="O21" i="1" s="1"/>
  <c r="P21" i="1" s="1"/>
  <c r="N22" i="1"/>
  <c r="O22" i="1" s="1"/>
  <c r="P22" i="1" s="1"/>
  <c r="N23" i="1"/>
  <c r="O23" i="1" s="1"/>
  <c r="P23" i="1" s="1"/>
  <c r="N24" i="1"/>
  <c r="O24" i="1" s="1"/>
  <c r="P24" i="1" s="1"/>
  <c r="N25" i="1"/>
  <c r="O25" i="1" s="1"/>
  <c r="N26" i="1"/>
  <c r="O26" i="1" s="1"/>
  <c r="P26" i="1" s="1"/>
  <c r="N27" i="1"/>
  <c r="O27" i="1" s="1"/>
  <c r="P27" i="1" s="1"/>
  <c r="N28" i="1"/>
  <c r="O28" i="1" s="1"/>
  <c r="P28" i="1" s="1"/>
  <c r="N29" i="1"/>
  <c r="O29" i="1" s="1"/>
  <c r="P29" i="1" s="1"/>
  <c r="N12" i="1"/>
  <c r="O12" i="1" s="1"/>
  <c r="P12" i="1" s="1"/>
  <c r="T12" i="1" s="1"/>
  <c r="B12" i="1"/>
  <c r="Q10" i="3"/>
  <c r="R10" i="3"/>
  <c r="S10" i="3"/>
  <c r="T10" i="3"/>
  <c r="U10" i="3"/>
  <c r="W10" i="3"/>
  <c r="Q11" i="3"/>
  <c r="R11" i="3"/>
  <c r="S11" i="3"/>
  <c r="T11" i="3"/>
  <c r="U11" i="3"/>
  <c r="V11" i="3"/>
  <c r="W11" i="3"/>
  <c r="Q12" i="3"/>
  <c r="R12" i="3"/>
  <c r="S12" i="3"/>
  <c r="T12" i="3"/>
  <c r="U12" i="3"/>
  <c r="V12" i="3"/>
  <c r="W12" i="3"/>
  <c r="Q13" i="3"/>
  <c r="R13" i="3"/>
  <c r="S13" i="3"/>
  <c r="T13" i="3"/>
  <c r="U13" i="3"/>
  <c r="V13" i="3"/>
  <c r="W13" i="3"/>
  <c r="Q14" i="3"/>
  <c r="R14" i="3"/>
  <c r="S14" i="3"/>
  <c r="T14" i="3"/>
  <c r="U14" i="3"/>
  <c r="V14" i="3"/>
  <c r="W14" i="3"/>
  <c r="Q15" i="3"/>
  <c r="R15" i="3"/>
  <c r="S15" i="3"/>
  <c r="T15" i="3"/>
  <c r="U15" i="3"/>
  <c r="V15" i="3"/>
  <c r="W15" i="3"/>
  <c r="Q26" i="3"/>
  <c r="R26" i="3"/>
  <c r="S26" i="3"/>
  <c r="T26" i="3"/>
  <c r="U26" i="3"/>
  <c r="V26" i="3"/>
  <c r="W26" i="3"/>
  <c r="R12" i="20"/>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M23" i="1"/>
  <c r="K23" i="1"/>
  <c r="M22" i="1"/>
  <c r="K22" i="1"/>
  <c r="R21" i="20"/>
  <c r="S21" i="20" s="1"/>
  <c r="P21" i="20"/>
  <c r="N21" i="20"/>
  <c r="R20" i="20"/>
  <c r="S20" i="20" s="1"/>
  <c r="P20" i="20"/>
  <c r="N20" i="20"/>
  <c r="G68" i="12"/>
  <c r="I70" i="12"/>
  <c r="G69" i="12"/>
  <c r="I69" i="12" s="1"/>
  <c r="G64" i="12"/>
  <c r="I64" i="12" s="1"/>
  <c r="G56" i="12"/>
  <c r="I56" i="12" s="1"/>
  <c r="G50" i="12"/>
  <c r="I50" i="12" s="1"/>
  <c r="G48" i="12"/>
  <c r="I48" i="12" s="1"/>
  <c r="G41" i="12"/>
  <c r="I41" i="12" s="1"/>
  <c r="I40" i="12"/>
  <c r="I35" i="12"/>
  <c r="I31" i="12"/>
  <c r="G16" i="12"/>
  <c r="I16" i="12" s="1"/>
  <c r="G15" i="12"/>
  <c r="I15" i="12" s="1"/>
  <c r="G14" i="12"/>
  <c r="I14" i="12" s="1"/>
  <c r="G12" i="12"/>
  <c r="G13" i="12"/>
  <c r="I13" i="12" s="1"/>
  <c r="I39" i="12"/>
  <c r="I51" i="12"/>
  <c r="I53" i="12"/>
  <c r="I67" i="12"/>
  <c r="I73" i="12"/>
  <c r="I75" i="12"/>
  <c r="I55" i="12"/>
  <c r="I74" i="12"/>
  <c r="I54" i="12"/>
  <c r="I46" i="12"/>
  <c r="D6" i="13"/>
  <c r="H6" i="13" s="1"/>
  <c r="I37" i="12"/>
  <c r="I38" i="12"/>
  <c r="I65" i="12"/>
  <c r="I72" i="12"/>
  <c r="R11" i="20"/>
  <c r="S11" i="20" s="1"/>
  <c r="W9" i="3"/>
  <c r="V9" i="3"/>
  <c r="U9" i="3"/>
  <c r="T9" i="3"/>
  <c r="R9" i="3"/>
  <c r="Q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P44" i="3"/>
  <c r="P45" i="3"/>
  <c r="P46" i="3"/>
  <c r="P47" i="3"/>
  <c r="P48" i="3"/>
  <c r="P49" i="3"/>
  <c r="P50" i="3"/>
  <c r="P51" i="3"/>
  <c r="P52" i="3"/>
  <c r="F53" i="3"/>
  <c r="L53" i="3"/>
  <c r="P53" i="3"/>
  <c r="F54" i="3"/>
  <c r="L54" i="3"/>
  <c r="P54" i="3"/>
  <c r="F55" i="3"/>
  <c r="L55" i="3"/>
  <c r="P55" i="3"/>
  <c r="F56" i="3"/>
  <c r="L56" i="3"/>
  <c r="P56" i="3"/>
  <c r="F57" i="3"/>
  <c r="L57" i="3"/>
  <c r="P57" i="3"/>
  <c r="F58" i="3"/>
  <c r="L58" i="3"/>
  <c r="P58" i="3"/>
  <c r="F59" i="3"/>
  <c r="L59" i="3"/>
  <c r="P59" i="3"/>
  <c r="F60" i="3"/>
  <c r="L60" i="3"/>
  <c r="P60" i="3"/>
  <c r="F61" i="3"/>
  <c r="L61" i="3"/>
  <c r="P61" i="3"/>
  <c r="F62" i="3"/>
  <c r="L62" i="3"/>
  <c r="P62" i="3"/>
  <c r="F63" i="3"/>
  <c r="L63" i="3"/>
  <c r="P63" i="3"/>
  <c r="F64" i="3"/>
  <c r="L64" i="3"/>
  <c r="P64" i="3"/>
  <c r="F65" i="3"/>
  <c r="L65" i="3"/>
  <c r="P65" i="3"/>
  <c r="F66" i="3"/>
  <c r="L66" i="3"/>
  <c r="P66" i="3"/>
  <c r="F67" i="3"/>
  <c r="L67" i="3"/>
  <c r="P67" i="3"/>
  <c r="F68" i="3"/>
  <c r="L68" i="3"/>
  <c r="P68" i="3"/>
  <c r="F69" i="3"/>
  <c r="L69" i="3"/>
  <c r="P69" i="3"/>
  <c r="F70" i="3"/>
  <c r="L70" i="3"/>
  <c r="P70" i="3"/>
  <c r="F71" i="3"/>
  <c r="L71" i="3"/>
  <c r="P71" i="3"/>
  <c r="F72" i="3"/>
  <c r="L72" i="3"/>
  <c r="P72" i="3"/>
  <c r="F73" i="3"/>
  <c r="L73" i="3"/>
  <c r="P73" i="3"/>
  <c r="F74" i="3"/>
  <c r="L74" i="3"/>
  <c r="P74" i="3"/>
  <c r="F75" i="3"/>
  <c r="L75" i="3"/>
  <c r="P75" i="3"/>
  <c r="F76" i="3"/>
  <c r="L76" i="3"/>
  <c r="P76" i="3"/>
  <c r="F77" i="3"/>
  <c r="L77" i="3"/>
  <c r="P77" i="3"/>
  <c r="F78" i="3"/>
  <c r="L78" i="3"/>
  <c r="P78" i="3"/>
  <c r="F79" i="3"/>
  <c r="L79" i="3"/>
  <c r="P79" i="3"/>
  <c r="F80" i="3"/>
  <c r="L80" i="3"/>
  <c r="P80" i="3"/>
  <c r="F81" i="3"/>
  <c r="L81" i="3"/>
  <c r="P81" i="3"/>
  <c r="F82" i="3"/>
  <c r="L82" i="3"/>
  <c r="P82" i="3"/>
  <c r="F83" i="3"/>
  <c r="L83" i="3"/>
  <c r="P83" i="3"/>
  <c r="F84" i="3"/>
  <c r="L84" i="3"/>
  <c r="P84" i="3"/>
  <c r="F85" i="3"/>
  <c r="L85" i="3"/>
  <c r="P85" i="3"/>
  <c r="F86" i="3"/>
  <c r="L86" i="3"/>
  <c r="P86" i="3"/>
  <c r="F87" i="3"/>
  <c r="L87" i="3"/>
  <c r="P87" i="3"/>
  <c r="F88" i="3"/>
  <c r="L88" i="3"/>
  <c r="P88" i="3"/>
  <c r="A9" i="3"/>
  <c r="S48" i="20"/>
  <c r="S49" i="20"/>
  <c r="S50" i="20"/>
  <c r="S51" i="20"/>
  <c r="S52" i="20"/>
  <c r="S53" i="20"/>
  <c r="S54" i="20"/>
  <c r="N55" i="20"/>
  <c r="P55" i="20"/>
  <c r="R55" i="20"/>
  <c r="S55" i="20" s="1"/>
  <c r="N56" i="20"/>
  <c r="P56" i="20"/>
  <c r="R56" i="20"/>
  <c r="S56" i="20" s="1"/>
  <c r="N57" i="20"/>
  <c r="P57" i="20"/>
  <c r="R57" i="20"/>
  <c r="S57" i="20" s="1"/>
  <c r="N58" i="20"/>
  <c r="P58" i="20"/>
  <c r="R58" i="20"/>
  <c r="S58" i="20" s="1"/>
  <c r="N59" i="20"/>
  <c r="P59" i="20"/>
  <c r="R59" i="20"/>
  <c r="S59" i="20" s="1"/>
  <c r="N60" i="20"/>
  <c r="P60" i="20"/>
  <c r="R60" i="20"/>
  <c r="S60" i="20" s="1"/>
  <c r="N61" i="20"/>
  <c r="P61" i="20"/>
  <c r="R61" i="20"/>
  <c r="S61" i="20" s="1"/>
  <c r="N62" i="20"/>
  <c r="P62" i="20"/>
  <c r="R62" i="20"/>
  <c r="S62" i="20" s="1"/>
  <c r="N63" i="20"/>
  <c r="P63" i="20"/>
  <c r="R63" i="20"/>
  <c r="S63" i="20" s="1"/>
  <c r="N64" i="20"/>
  <c r="P64" i="20"/>
  <c r="R64" i="20"/>
  <c r="S64" i="20" s="1"/>
  <c r="N65" i="20"/>
  <c r="P65" i="20"/>
  <c r="R65" i="20"/>
  <c r="S65" i="20" s="1"/>
  <c r="N66" i="20"/>
  <c r="P66" i="20"/>
  <c r="R66" i="20"/>
  <c r="S66" i="20" s="1"/>
  <c r="N67" i="20"/>
  <c r="P67" i="20"/>
  <c r="R67" i="20"/>
  <c r="S67" i="20" s="1"/>
  <c r="N68" i="20"/>
  <c r="P68" i="20"/>
  <c r="R68" i="20"/>
  <c r="S68" i="20" s="1"/>
  <c r="N69" i="20"/>
  <c r="P69" i="20"/>
  <c r="R69" i="20"/>
  <c r="S69" i="20" s="1"/>
  <c r="N70" i="20"/>
  <c r="P70" i="20"/>
  <c r="R70" i="20"/>
  <c r="S70" i="20" s="1"/>
  <c r="N71" i="20"/>
  <c r="P71" i="20"/>
  <c r="R71" i="20"/>
  <c r="S71" i="20" s="1"/>
  <c r="N72" i="20"/>
  <c r="P72" i="20"/>
  <c r="R72" i="20"/>
  <c r="S72" i="20" s="1"/>
  <c r="N73" i="20"/>
  <c r="P73" i="20"/>
  <c r="R73" i="20"/>
  <c r="S73" i="20" s="1"/>
  <c r="N74" i="20"/>
  <c r="P74" i="20"/>
  <c r="R74" i="20"/>
  <c r="S74" i="20" s="1"/>
  <c r="N75" i="20"/>
  <c r="P75" i="20"/>
  <c r="R75" i="20"/>
  <c r="S75" i="20" s="1"/>
  <c r="N76" i="20"/>
  <c r="P76" i="20"/>
  <c r="R76" i="20"/>
  <c r="S76" i="20" s="1"/>
  <c r="N77" i="20"/>
  <c r="P77" i="20"/>
  <c r="R77" i="20"/>
  <c r="S77" i="20" s="1"/>
  <c r="N78" i="20"/>
  <c r="P78" i="20"/>
  <c r="R78" i="20"/>
  <c r="S78" i="20" s="1"/>
  <c r="N79" i="20"/>
  <c r="P79" i="20"/>
  <c r="R79" i="20"/>
  <c r="S79" i="20" s="1"/>
  <c r="N80" i="20"/>
  <c r="P80" i="20"/>
  <c r="R80" i="20"/>
  <c r="S80" i="20" s="1"/>
  <c r="N81" i="20"/>
  <c r="P81" i="20"/>
  <c r="R81" i="20"/>
  <c r="S81" i="20" s="1"/>
  <c r="N82" i="20"/>
  <c r="P82" i="20"/>
  <c r="R82" i="20"/>
  <c r="S82" i="20" s="1"/>
  <c r="N83" i="20"/>
  <c r="P83" i="20"/>
  <c r="R83" i="20"/>
  <c r="S83" i="20" s="1"/>
  <c r="N84" i="20"/>
  <c r="P84" i="20"/>
  <c r="R84" i="20"/>
  <c r="S84" i="20" s="1"/>
  <c r="N85" i="20"/>
  <c r="P85" i="20"/>
  <c r="R85" i="20"/>
  <c r="S85" i="20" s="1"/>
  <c r="N86" i="20"/>
  <c r="P86" i="20"/>
  <c r="R86" i="20"/>
  <c r="S86" i="20" s="1"/>
  <c r="N87" i="20"/>
  <c r="P87" i="20"/>
  <c r="R87" i="20"/>
  <c r="S87" i="20" s="1"/>
  <c r="N88" i="20"/>
  <c r="P88" i="20"/>
  <c r="R88" i="20"/>
  <c r="S88" i="20" s="1"/>
  <c r="N89" i="20"/>
  <c r="P89" i="20"/>
  <c r="R89" i="20"/>
  <c r="S89" i="20" s="1"/>
  <c r="N90" i="20"/>
  <c r="P90" i="20"/>
  <c r="R90" i="20"/>
  <c r="S90" i="20" s="1"/>
  <c r="N91" i="20"/>
  <c r="P91" i="20"/>
  <c r="R91" i="20"/>
  <c r="S91" i="20" s="1"/>
  <c r="N92" i="20"/>
  <c r="P92" i="20"/>
  <c r="R92" i="20"/>
  <c r="S92" i="20" s="1"/>
  <c r="P33" i="3"/>
  <c r="P32" i="3"/>
  <c r="P31" i="3"/>
  <c r="P30" i="3"/>
  <c r="P29" i="3"/>
  <c r="P28" i="3"/>
  <c r="P27" i="3"/>
  <c r="P26" i="3"/>
  <c r="P25" i="3"/>
  <c r="P24" i="3"/>
  <c r="P17" i="3"/>
  <c r="P16" i="3"/>
  <c r="P15" i="3"/>
  <c r="P14" i="3"/>
  <c r="P13" i="3"/>
  <c r="P12" i="3"/>
  <c r="P11" i="3"/>
  <c r="P10" i="3"/>
  <c r="P35" i="3"/>
  <c r="P34" i="3"/>
  <c r="P23" i="3"/>
  <c r="P22" i="3"/>
  <c r="P21" i="3"/>
  <c r="P20" i="3"/>
  <c r="P19" i="3"/>
  <c r="P18" i="3"/>
  <c r="P43" i="3"/>
  <c r="P42" i="3"/>
  <c r="P41" i="3"/>
  <c r="P40" i="3"/>
  <c r="P39" i="3"/>
  <c r="P38" i="3"/>
  <c r="P37" i="3"/>
  <c r="P36" i="3"/>
  <c r="P9" i="3"/>
  <c r="S47" i="20"/>
  <c r="S46" i="20"/>
  <c r="S45" i="20"/>
  <c r="S44" i="20"/>
  <c r="S43" i="20"/>
  <c r="S42" i="20"/>
  <c r="S41" i="20"/>
  <c r="S40" i="20"/>
  <c r="S39" i="20"/>
  <c r="S38" i="20"/>
  <c r="S37" i="20"/>
  <c r="S36" i="20"/>
  <c r="S35" i="20"/>
  <c r="S34" i="20"/>
  <c r="S33" i="20"/>
  <c r="S32" i="20"/>
  <c r="S31" i="20"/>
  <c r="S30" i="20"/>
  <c r="S29" i="20"/>
  <c r="N28" i="20"/>
  <c r="P28" i="20"/>
  <c r="R28" i="20"/>
  <c r="S28" i="20" s="1"/>
  <c r="N27" i="20"/>
  <c r="P27" i="20"/>
  <c r="R27" i="20"/>
  <c r="S27" i="20" s="1"/>
  <c r="N26" i="20"/>
  <c r="P26" i="20"/>
  <c r="R26" i="20"/>
  <c r="S26" i="20" s="1"/>
  <c r="N25" i="20"/>
  <c r="P25" i="20"/>
  <c r="R25" i="20"/>
  <c r="S25" i="20" s="1"/>
  <c r="N24" i="20"/>
  <c r="P24" i="20"/>
  <c r="R24" i="20"/>
  <c r="S24" i="20" s="1"/>
  <c r="N23" i="20"/>
  <c r="P23" i="20"/>
  <c r="R23" i="20"/>
  <c r="S23" i="20" s="1"/>
  <c r="N22" i="20"/>
  <c r="P22" i="20"/>
  <c r="R22" i="20"/>
  <c r="S22" i="20" s="1"/>
  <c r="N19" i="20"/>
  <c r="P19" i="20"/>
  <c r="R19" i="20"/>
  <c r="S19" i="20" s="1"/>
  <c r="N18" i="20"/>
  <c r="P18" i="20"/>
  <c r="R18" i="20"/>
  <c r="S18" i="20" s="1"/>
  <c r="N17" i="20"/>
  <c r="P17" i="20"/>
  <c r="R17" i="20"/>
  <c r="S17" i="20" s="1"/>
  <c r="N16" i="20"/>
  <c r="P16" i="20"/>
  <c r="R16" i="20"/>
  <c r="S16" i="20" s="1"/>
  <c r="N15" i="20"/>
  <c r="P15" i="20"/>
  <c r="R15" i="20"/>
  <c r="S15" i="20" s="1"/>
  <c r="N14" i="20"/>
  <c r="P14" i="20"/>
  <c r="R14" i="20"/>
  <c r="S14" i="20" s="1"/>
  <c r="N13" i="20"/>
  <c r="P13" i="20"/>
  <c r="R13" i="20"/>
  <c r="S13" i="20" s="1"/>
  <c r="N12" i="20"/>
  <c r="P12" i="20"/>
  <c r="S12" i="20"/>
  <c r="N11" i="20"/>
  <c r="P11" i="20"/>
  <c r="D33" i="13"/>
  <c r="B18" i="13"/>
  <c r="E18" i="13"/>
  <c r="I52" i="12"/>
  <c r="I66" i="12"/>
  <c r="G9" i="13"/>
  <c r="D9" i="13"/>
  <c r="D7" i="13"/>
  <c r="G7" i="13"/>
  <c r="D8" i="13"/>
  <c r="D10" i="13"/>
  <c r="D11" i="13"/>
  <c r="D12" i="13"/>
  <c r="G12" i="13"/>
  <c r="D13" i="13"/>
  <c r="G13" i="13"/>
  <c r="D14" i="13"/>
  <c r="D15" i="13"/>
  <c r="D16" i="13"/>
  <c r="G16" i="13"/>
  <c r="D17" i="13"/>
  <c r="G8" i="13"/>
  <c r="G10" i="13"/>
  <c r="G11" i="13"/>
  <c r="G14" i="13"/>
  <c r="G15" i="13"/>
  <c r="G17" i="13"/>
  <c r="G30" i="12"/>
  <c r="I30" i="12" s="1"/>
  <c r="I32" i="12"/>
  <c r="I33" i="12"/>
  <c r="I34" i="12"/>
  <c r="K13" i="1"/>
  <c r="M13" i="1"/>
  <c r="K12" i="1"/>
  <c r="M12" i="1"/>
  <c r="K14" i="1"/>
  <c r="M14" i="1"/>
  <c r="K15" i="1"/>
  <c r="M15" i="1"/>
  <c r="K16" i="1"/>
  <c r="M16" i="1"/>
  <c r="K17" i="1"/>
  <c r="M17" i="1"/>
  <c r="O17" i="1"/>
  <c r="P17" i="1" s="1"/>
  <c r="K18" i="1"/>
  <c r="M18" i="1"/>
  <c r="K19" i="1"/>
  <c r="M19" i="1"/>
  <c r="K20" i="1"/>
  <c r="K21" i="1"/>
  <c r="M21" i="1"/>
  <c r="K24" i="1"/>
  <c r="M24" i="1"/>
  <c r="K25" i="1"/>
  <c r="M25" i="1"/>
  <c r="P25" i="1"/>
  <c r="K26" i="1"/>
  <c r="M26" i="1"/>
  <c r="K27" i="1"/>
  <c r="M27" i="1"/>
  <c r="K28" i="1"/>
  <c r="M28" i="1"/>
  <c r="K29" i="1"/>
  <c r="M29" i="1"/>
  <c r="K30" i="1"/>
  <c r="M30" i="1"/>
  <c r="O30" i="1"/>
  <c r="P30" i="1" s="1"/>
  <c r="K31" i="1"/>
  <c r="M31" i="1"/>
  <c r="O31" i="1"/>
  <c r="P31" i="1" s="1"/>
  <c r="K32" i="1"/>
  <c r="M32" i="1"/>
  <c r="O32" i="1"/>
  <c r="P32" i="1" s="1"/>
  <c r="K33" i="1"/>
  <c r="M33" i="1"/>
  <c r="O33" i="1"/>
  <c r="P33" i="1" s="1"/>
  <c r="K34" i="1"/>
  <c r="M34" i="1"/>
  <c r="O34" i="1"/>
  <c r="P34" i="1" s="1"/>
  <c r="J39" i="13"/>
  <c r="K39" i="13" s="1"/>
  <c r="M39" i="13" s="1"/>
  <c r="N39" i="13" s="1"/>
  <c r="J41" i="13"/>
  <c r="K41" i="13" s="1"/>
  <c r="M41" i="13" s="1"/>
  <c r="N41" i="13" s="1"/>
  <c r="J40" i="13"/>
  <c r="K40" i="13" s="1"/>
  <c r="M40" i="13" s="1"/>
  <c r="N40" i="13" s="1"/>
  <c r="J42" i="13"/>
  <c r="K42" i="13" s="1"/>
  <c r="M42" i="13" s="1"/>
  <c r="N42" i="13" s="1"/>
  <c r="B21" i="13" l="1"/>
  <c r="I12" i="12"/>
  <c r="Y9" i="3"/>
  <c r="D11" i="20" s="1"/>
  <c r="D12" i="1" s="1"/>
  <c r="AA67" i="3"/>
  <c r="F69" i="20" s="1"/>
  <c r="X58" i="3"/>
  <c r="C60" i="20" s="1"/>
  <c r="AA34" i="3"/>
  <c r="Y66" i="3"/>
  <c r="D68" i="20" s="1"/>
  <c r="H8" i="13"/>
  <c r="X87" i="3"/>
  <c r="C89" i="20" s="1"/>
  <c r="Z83" i="3"/>
  <c r="E85" i="20" s="1"/>
  <c r="Z79" i="3"/>
  <c r="E81" i="20" s="1"/>
  <c r="X71" i="3"/>
  <c r="C73" i="20" s="1"/>
  <c r="Z67" i="3"/>
  <c r="E69" i="20" s="1"/>
  <c r="Y47" i="3"/>
  <c r="D49" i="20" s="1"/>
  <c r="D50" i="1" s="1"/>
  <c r="Z33" i="3"/>
  <c r="AA31" i="3"/>
  <c r="X88" i="3"/>
  <c r="C90" i="20" s="1"/>
  <c r="X85" i="3"/>
  <c r="C87" i="20" s="1"/>
  <c r="Z81" i="3"/>
  <c r="E83" i="20" s="1"/>
  <c r="AA78" i="3"/>
  <c r="F80" i="20" s="1"/>
  <c r="AA72" i="3"/>
  <c r="F74" i="20" s="1"/>
  <c r="AA49" i="3"/>
  <c r="F51" i="20" s="1"/>
  <c r="F52" i="1" s="1"/>
  <c r="Y65" i="3"/>
  <c r="D67" i="20" s="1"/>
  <c r="Z61" i="3"/>
  <c r="E63" i="20" s="1"/>
  <c r="X56" i="3"/>
  <c r="C58" i="20" s="1"/>
  <c r="Y54" i="3"/>
  <c r="D56" i="20" s="1"/>
  <c r="Z53" i="3"/>
  <c r="E55" i="20" s="1"/>
  <c r="AA52" i="3"/>
  <c r="F54" i="20" s="1"/>
  <c r="F55" i="1" s="1"/>
  <c r="X46" i="3"/>
  <c r="Y45" i="3"/>
  <c r="X42" i="3"/>
  <c r="X41" i="3"/>
  <c r="X74" i="3"/>
  <c r="C76" i="20" s="1"/>
  <c r="X45" i="3"/>
  <c r="X81" i="3"/>
  <c r="C83" i="20" s="1"/>
  <c r="Z87" i="3"/>
  <c r="E89" i="20" s="1"/>
  <c r="X53" i="3"/>
  <c r="C55" i="20" s="1"/>
  <c r="AA88" i="3"/>
  <c r="F90" i="20" s="1"/>
  <c r="Z52" i="3"/>
  <c r="E54" i="20" s="1"/>
  <c r="E55" i="1" s="1"/>
  <c r="Y46" i="3"/>
  <c r="Y41" i="3"/>
  <c r="H14" i="13"/>
  <c r="Y87" i="3"/>
  <c r="D89" i="20" s="1"/>
  <c r="Y86" i="3"/>
  <c r="D88" i="20" s="1"/>
  <c r="Z84" i="3"/>
  <c r="E86" i="20" s="1"/>
  <c r="Y83" i="3"/>
  <c r="D85" i="20" s="1"/>
  <c r="Y81" i="3"/>
  <c r="D83" i="20" s="1"/>
  <c r="Y80" i="3"/>
  <c r="D82" i="20" s="1"/>
  <c r="X79" i="3"/>
  <c r="C81" i="20" s="1"/>
  <c r="Y76" i="3"/>
  <c r="D78" i="20" s="1"/>
  <c r="Y75" i="3"/>
  <c r="D77" i="20" s="1"/>
  <c r="Z73" i="3"/>
  <c r="E75" i="20" s="1"/>
  <c r="Z72" i="3"/>
  <c r="E74" i="20" s="1"/>
  <c r="AA71" i="3"/>
  <c r="F73" i="20" s="1"/>
  <c r="AA66" i="3"/>
  <c r="F68" i="20" s="1"/>
  <c r="Z64" i="3"/>
  <c r="E66" i="20" s="1"/>
  <c r="Z63" i="3"/>
  <c r="E65" i="20" s="1"/>
  <c r="Y62" i="3"/>
  <c r="D64" i="20" s="1"/>
  <c r="Y61" i="3"/>
  <c r="D63" i="20" s="1"/>
  <c r="Y60" i="3"/>
  <c r="D62" i="20" s="1"/>
  <c r="Y59" i="3"/>
  <c r="D61" i="20" s="1"/>
  <c r="AA57" i="3"/>
  <c r="F59" i="20" s="1"/>
  <c r="AA56" i="3"/>
  <c r="F58" i="20" s="1"/>
  <c r="Y55" i="3"/>
  <c r="D57" i="20" s="1"/>
  <c r="Y53" i="3"/>
  <c r="D55" i="20" s="1"/>
  <c r="X52" i="3"/>
  <c r="C54" i="20" s="1"/>
  <c r="C55" i="1" s="1"/>
  <c r="AA51" i="3"/>
  <c r="F53" i="20" s="1"/>
  <c r="F54" i="1" s="1"/>
  <c r="X47" i="3"/>
  <c r="C49" i="20" s="1"/>
  <c r="C50" i="1" s="1"/>
  <c r="AA46" i="3"/>
  <c r="Y43" i="3"/>
  <c r="Y42" i="3"/>
  <c r="AA41" i="3"/>
  <c r="AA39" i="3"/>
  <c r="Y38" i="3"/>
  <c r="X35" i="3"/>
  <c r="X34" i="3"/>
  <c r="Z32" i="3"/>
  <c r="Y31" i="3"/>
  <c r="AA30" i="3"/>
  <c r="X29" i="3"/>
  <c r="AA28" i="3"/>
  <c r="AA27" i="3"/>
  <c r="X21" i="3"/>
  <c r="C23" i="20" s="1"/>
  <c r="C24" i="1" s="1"/>
  <c r="Z16" i="3"/>
  <c r="E18" i="20" s="1"/>
  <c r="E19" i="1" s="1"/>
  <c r="G92" i="20"/>
  <c r="H92" i="20" s="1"/>
  <c r="I92" i="20" s="1"/>
  <c r="G91" i="20"/>
  <c r="H91" i="20" s="1"/>
  <c r="I91" i="20" s="1"/>
  <c r="AA11" i="3"/>
  <c r="F13" i="20" s="1"/>
  <c r="F14" i="1" s="1"/>
  <c r="Z88" i="3"/>
  <c r="E90" i="20" s="1"/>
  <c r="Z86" i="3"/>
  <c r="E88" i="20" s="1"/>
  <c r="Y85" i="3"/>
  <c r="D87" i="20" s="1"/>
  <c r="AA84" i="3"/>
  <c r="F86" i="20" s="1"/>
  <c r="Z82" i="3"/>
  <c r="E84" i="20" s="1"/>
  <c r="AA81" i="3"/>
  <c r="F83" i="20" s="1"/>
  <c r="Y78" i="3"/>
  <c r="D80" i="20" s="1"/>
  <c r="Z77" i="3"/>
  <c r="E79" i="20" s="1"/>
  <c r="Z74" i="3"/>
  <c r="E76" i="20" s="1"/>
  <c r="AA70" i="3"/>
  <c r="F72" i="20" s="1"/>
  <c r="Z69" i="3"/>
  <c r="E71" i="20" s="1"/>
  <c r="Y68" i="3"/>
  <c r="D70" i="20" s="1"/>
  <c r="X66" i="3"/>
  <c r="C68" i="20" s="1"/>
  <c r="Z65" i="3"/>
  <c r="E67" i="20" s="1"/>
  <c r="X64" i="3"/>
  <c r="C66" i="20" s="1"/>
  <c r="Z62" i="3"/>
  <c r="E64" i="20" s="1"/>
  <c r="X61" i="3"/>
  <c r="C63" i="20" s="1"/>
  <c r="X60" i="3"/>
  <c r="C62" i="20" s="1"/>
  <c r="Z58" i="3"/>
  <c r="E60" i="20" s="1"/>
  <c r="X57" i="3"/>
  <c r="C59" i="20" s="1"/>
  <c r="Z56" i="3"/>
  <c r="E58" i="20" s="1"/>
  <c r="AA54" i="3"/>
  <c r="F56" i="20" s="1"/>
  <c r="Y52" i="3"/>
  <c r="D54" i="20" s="1"/>
  <c r="Y49" i="3"/>
  <c r="D51" i="20" s="1"/>
  <c r="D52" i="1" s="1"/>
  <c r="AA48" i="3"/>
  <c r="F50" i="20" s="1"/>
  <c r="F51" i="1" s="1"/>
  <c r="AA45" i="3"/>
  <c r="AA38" i="3"/>
  <c r="Z37" i="3"/>
  <c r="AA36" i="3"/>
  <c r="Y34" i="3"/>
  <c r="X33" i="3"/>
  <c r="C35" i="20" s="1"/>
  <c r="Y30" i="3"/>
  <c r="X16" i="3"/>
  <c r="C18" i="20" s="1"/>
  <c r="C19" i="1" s="1"/>
  <c r="Z30" i="3"/>
  <c r="AA16" i="3"/>
  <c r="F18" i="20" s="1"/>
  <c r="F19" i="1" s="1"/>
  <c r="H16" i="13"/>
  <c r="Y32" i="3"/>
  <c r="Z47" i="3"/>
  <c r="E49" i="20" s="1"/>
  <c r="X63" i="3"/>
  <c r="C65" i="20" s="1"/>
  <c r="X43" i="3"/>
  <c r="Z71" i="3"/>
  <c r="E73" i="20" s="1"/>
  <c r="Z35" i="3"/>
  <c r="H10" i="13"/>
  <c r="C32" i="13"/>
  <c r="E32" i="13" s="1"/>
  <c r="F32" i="13" s="1"/>
  <c r="X44" i="3"/>
  <c r="Y40" i="3"/>
  <c r="X40" i="3"/>
  <c r="AA75" i="3"/>
  <c r="F77" i="20" s="1"/>
  <c r="Y37" i="3"/>
  <c r="Y82" i="3"/>
  <c r="D84" i="20" s="1"/>
  <c r="AA69" i="3"/>
  <c r="F71" i="20" s="1"/>
  <c r="Z31" i="3"/>
  <c r="AA32" i="3"/>
  <c r="Z34" i="3"/>
  <c r="Z54" i="3"/>
  <c r="E56" i="20" s="1"/>
  <c r="AA59" i="3"/>
  <c r="F61" i="20" s="1"/>
  <c r="Z38" i="3"/>
  <c r="Z44" i="3"/>
  <c r="X70" i="3"/>
  <c r="C72" i="20" s="1"/>
  <c r="AA77" i="3"/>
  <c r="F79" i="20" s="1"/>
  <c r="AA85" i="3"/>
  <c r="F87" i="20" s="1"/>
  <c r="AA86" i="3"/>
  <c r="F88" i="20" s="1"/>
  <c r="Y58" i="3"/>
  <c r="D60" i="20" s="1"/>
  <c r="AA74" i="3"/>
  <c r="F76" i="20" s="1"/>
  <c r="X75" i="3"/>
  <c r="C77" i="20" s="1"/>
  <c r="AA82" i="3"/>
  <c r="F84" i="20" s="1"/>
  <c r="X84" i="3"/>
  <c r="C86" i="20" s="1"/>
  <c r="Z59" i="3"/>
  <c r="E61" i="20" s="1"/>
  <c r="Z49" i="3"/>
  <c r="E51" i="20" s="1"/>
  <c r="E52" i="1" s="1"/>
  <c r="X36" i="3"/>
  <c r="Y33" i="3"/>
  <c r="H15" i="13"/>
  <c r="AA61" i="3"/>
  <c r="F63" i="20" s="1"/>
  <c r="Z41" i="3"/>
  <c r="X37" i="3"/>
  <c r="AA33" i="3"/>
  <c r="Y11" i="3"/>
  <c r="D13" i="20" s="1"/>
  <c r="D14" i="1" s="1"/>
  <c r="Y63" i="3"/>
  <c r="D65" i="20" s="1"/>
  <c r="X51" i="3"/>
  <c r="C53" i="20" s="1"/>
  <c r="C54" i="1" s="1"/>
  <c r="X39" i="3"/>
  <c r="H13" i="13"/>
  <c r="Y36" i="3"/>
  <c r="Y79" i="3"/>
  <c r="D81" i="20" s="1"/>
  <c r="Z43" i="3"/>
  <c r="Z85" i="3"/>
  <c r="E87" i="20" s="1"/>
  <c r="X31" i="3"/>
  <c r="X32" i="3"/>
  <c r="Z39" i="3"/>
  <c r="AA63" i="3"/>
  <c r="F65" i="20" s="1"/>
  <c r="AA37" i="3"/>
  <c r="Z40" i="3"/>
  <c r="Y84" i="3"/>
  <c r="D86" i="20" s="1"/>
  <c r="X65" i="3"/>
  <c r="C67" i="20" s="1"/>
  <c r="Z36" i="3"/>
  <c r="Y35" i="3"/>
  <c r="Z42" i="3"/>
  <c r="X38" i="3"/>
  <c r="Z13" i="3"/>
  <c r="E15" i="20" s="1"/>
  <c r="E16" i="1" s="1"/>
  <c r="AA22" i="3"/>
  <c r="F24" i="20" s="1"/>
  <c r="F25" i="1" s="1"/>
  <c r="Y19" i="3"/>
  <c r="D21" i="20" s="1"/>
  <c r="D22" i="1" s="1"/>
  <c r="Z19" i="3"/>
  <c r="E21" i="20" s="1"/>
  <c r="E22" i="1" s="1"/>
  <c r="AA19" i="3"/>
  <c r="F21" i="20" s="1"/>
  <c r="F22" i="1" s="1"/>
  <c r="Y18" i="3"/>
  <c r="D20" i="20" s="1"/>
  <c r="D21" i="1" s="1"/>
  <c r="Y17" i="3"/>
  <c r="D19" i="20" s="1"/>
  <c r="D20" i="1" s="1"/>
  <c r="Z29" i="3"/>
  <c r="Y28" i="3"/>
  <c r="Y29" i="3"/>
  <c r="D31" i="20" s="1"/>
  <c r="Z24" i="3"/>
  <c r="E26" i="20" s="1"/>
  <c r="E27" i="1" s="1"/>
  <c r="Z27" i="3"/>
  <c r="AA25" i="3"/>
  <c r="F27" i="20" s="1"/>
  <c r="F28" i="1" s="1"/>
  <c r="Y24" i="3"/>
  <c r="D26" i="20" s="1"/>
  <c r="D27" i="1" s="1"/>
  <c r="Z18" i="3"/>
  <c r="E20" i="20" s="1"/>
  <c r="E21" i="1" s="1"/>
  <c r="Z17" i="3"/>
  <c r="E19" i="20" s="1"/>
  <c r="E20" i="1" s="1"/>
  <c r="Z26" i="3"/>
  <c r="E28" i="20" s="1"/>
  <c r="E29" i="1" s="1"/>
  <c r="X24" i="3"/>
  <c r="C26" i="20" s="1"/>
  <c r="C27" i="1" s="1"/>
  <c r="Y25" i="3"/>
  <c r="D27" i="20" s="1"/>
  <c r="D28" i="1" s="1"/>
  <c r="H11" i="13"/>
  <c r="AA80" i="3"/>
  <c r="F82" i="20" s="1"/>
  <c r="Z78" i="3"/>
  <c r="E80" i="20" s="1"/>
  <c r="Y77" i="3"/>
  <c r="D79" i="20" s="1"/>
  <c r="Z76" i="3"/>
  <c r="E78" i="20" s="1"/>
  <c r="Y74" i="3"/>
  <c r="D76" i="20" s="1"/>
  <c r="Y73" i="3"/>
  <c r="D75" i="20" s="1"/>
  <c r="Y72" i="3"/>
  <c r="D74" i="20" s="1"/>
  <c r="Z70" i="3"/>
  <c r="E72" i="20" s="1"/>
  <c r="AA68" i="3"/>
  <c r="F70" i="20" s="1"/>
  <c r="X67" i="3"/>
  <c r="C69" i="20" s="1"/>
  <c r="Z66" i="3"/>
  <c r="AA65" i="3"/>
  <c r="AA64" i="3"/>
  <c r="F66" i="20" s="1"/>
  <c r="X62" i="3"/>
  <c r="C64" i="20" s="1"/>
  <c r="Z60" i="3"/>
  <c r="E62" i="20" s="1"/>
  <c r="X55" i="3"/>
  <c r="C57" i="20" s="1"/>
  <c r="AA53" i="3"/>
  <c r="F55" i="20" s="1"/>
  <c r="AA43" i="3"/>
  <c r="AA42" i="3"/>
  <c r="AA40" i="3"/>
  <c r="Y39" i="3"/>
  <c r="AA29" i="3"/>
  <c r="H9" i="13"/>
  <c r="X30" i="3"/>
  <c r="C32" i="20" s="1"/>
  <c r="X11" i="3"/>
  <c r="C13" i="20" s="1"/>
  <c r="C14" i="1" s="1"/>
  <c r="E36" i="13"/>
  <c r="H36" i="13" s="1"/>
  <c r="E38" i="13"/>
  <c r="F38" i="13" s="1"/>
  <c r="H12" i="13"/>
  <c r="E35" i="13"/>
  <c r="D18" i="13"/>
  <c r="G45" i="12"/>
  <c r="I45" i="12" s="1"/>
  <c r="G59" i="12"/>
  <c r="I59" i="12" s="1"/>
  <c r="G42" i="12"/>
  <c r="I42" i="12" s="1"/>
  <c r="G44" i="12"/>
  <c r="I44" i="12" s="1"/>
  <c r="G49" i="12"/>
  <c r="I49" i="12" s="1"/>
  <c r="G43" i="12"/>
  <c r="I43" i="12" s="1"/>
  <c r="G57" i="12"/>
  <c r="I57" i="12" s="1"/>
  <c r="G47" i="12"/>
  <c r="I47" i="12" s="1"/>
  <c r="E37" i="13"/>
  <c r="AA21" i="3"/>
  <c r="F23" i="20" s="1"/>
  <c r="F24" i="1" s="1"/>
  <c r="Y21" i="3"/>
  <c r="D23" i="20" s="1"/>
  <c r="Z21" i="3"/>
  <c r="E23" i="20" s="1"/>
  <c r="E24" i="1" s="1"/>
  <c r="Y20" i="3"/>
  <c r="D22" i="20" s="1"/>
  <c r="D23" i="1" s="1"/>
  <c r="X20" i="3"/>
  <c r="AA20" i="3"/>
  <c r="F22" i="20" s="1"/>
  <c r="F23" i="1" s="1"/>
  <c r="Z20" i="3"/>
  <c r="E22" i="20" s="1"/>
  <c r="E23" i="1" s="1"/>
  <c r="X12" i="3"/>
  <c r="Y12" i="3"/>
  <c r="D14" i="20" s="1"/>
  <c r="D15" i="1" s="1"/>
  <c r="AA12" i="3"/>
  <c r="F14" i="20" s="1"/>
  <c r="F15" i="1" s="1"/>
  <c r="Z12" i="3"/>
  <c r="E14" i="20" s="1"/>
  <c r="E15" i="1" s="1"/>
  <c r="I68" i="12"/>
  <c r="X14" i="3"/>
  <c r="AA14" i="3"/>
  <c r="F16" i="20" s="1"/>
  <c r="F17" i="1" s="1"/>
  <c r="Y14" i="3"/>
  <c r="D16" i="20" s="1"/>
  <c r="D17" i="1" s="1"/>
  <c r="Z14" i="3"/>
  <c r="E16" i="20" s="1"/>
  <c r="E17" i="1" s="1"/>
  <c r="X9" i="3"/>
  <c r="Z9" i="3"/>
  <c r="E11" i="20" s="1"/>
  <c r="E12" i="1" s="1"/>
  <c r="AA9" i="3"/>
  <c r="F11" i="20" s="1"/>
  <c r="F12" i="1" s="1"/>
  <c r="G18" i="13"/>
  <c r="X78" i="3"/>
  <c r="Y70" i="3"/>
  <c r="D72" i="20" s="1"/>
  <c r="AA62" i="3"/>
  <c r="F64" i="20" s="1"/>
  <c r="H17" i="13"/>
  <c r="Y88" i="3"/>
  <c r="AA87" i="3"/>
  <c r="F89" i="20" s="1"/>
  <c r="X86" i="3"/>
  <c r="X83" i="3"/>
  <c r="AA83" i="3"/>
  <c r="F85" i="20" s="1"/>
  <c r="X50" i="3"/>
  <c r="C52" i="20" s="1"/>
  <c r="C53" i="1" s="1"/>
  <c r="Y50" i="3"/>
  <c r="D52" i="20" s="1"/>
  <c r="D53" i="1" s="1"/>
  <c r="Z50" i="3"/>
  <c r="E52" i="20" s="1"/>
  <c r="E53" i="1" s="1"/>
  <c r="AA50" i="3"/>
  <c r="F52" i="20" s="1"/>
  <c r="F53" i="1" s="1"/>
  <c r="AA47" i="3"/>
  <c r="F49" i="20" s="1"/>
  <c r="F50" i="1" s="1"/>
  <c r="Z22" i="3"/>
  <c r="E24" i="20" s="1"/>
  <c r="E25" i="1" s="1"/>
  <c r="X22" i="3"/>
  <c r="Y22" i="3"/>
  <c r="D24" i="20" s="1"/>
  <c r="D25" i="1" s="1"/>
  <c r="Z80" i="3"/>
  <c r="E82" i="20" s="1"/>
  <c r="AA79" i="3"/>
  <c r="F81" i="20" s="1"/>
  <c r="X77" i="3"/>
  <c r="X76" i="3"/>
  <c r="AA76" i="3"/>
  <c r="F78" i="20" s="1"/>
  <c r="Z75" i="3"/>
  <c r="AA73" i="3"/>
  <c r="F75" i="20" s="1"/>
  <c r="X73" i="3"/>
  <c r="X72" i="3"/>
  <c r="Y71" i="3"/>
  <c r="D73" i="20" s="1"/>
  <c r="Y69" i="3"/>
  <c r="D71" i="20" s="1"/>
  <c r="X68" i="3"/>
  <c r="Z68" i="3"/>
  <c r="E70" i="20" s="1"/>
  <c r="Y67" i="3"/>
  <c r="D69" i="20" s="1"/>
  <c r="Y64" i="3"/>
  <c r="D66" i="20" s="1"/>
  <c r="AA60" i="3"/>
  <c r="F62" i="20" s="1"/>
  <c r="X59" i="3"/>
  <c r="AA58" i="3"/>
  <c r="F60" i="20" s="1"/>
  <c r="Z57" i="3"/>
  <c r="E59" i="20" s="1"/>
  <c r="Y57" i="3"/>
  <c r="Y56" i="3"/>
  <c r="D58" i="20" s="1"/>
  <c r="Z55" i="3"/>
  <c r="E57" i="20" s="1"/>
  <c r="AA55" i="3"/>
  <c r="F57" i="20" s="1"/>
  <c r="X54" i="3"/>
  <c r="Z51" i="3"/>
  <c r="E53" i="20" s="1"/>
  <c r="Y48" i="3"/>
  <c r="D50" i="20" s="1"/>
  <c r="Z48" i="3"/>
  <c r="E50" i="20" s="1"/>
  <c r="E51" i="1" s="1"/>
  <c r="X48" i="3"/>
  <c r="C50" i="20" s="1"/>
  <c r="C51" i="1" s="1"/>
  <c r="AA44" i="3"/>
  <c r="Y44" i="3"/>
  <c r="D46" i="20" s="1"/>
  <c r="Y10" i="3"/>
  <c r="D12" i="20" s="1"/>
  <c r="D13" i="1" s="1"/>
  <c r="AA10" i="3"/>
  <c r="F12" i="20" s="1"/>
  <c r="F13" i="1" s="1"/>
  <c r="X10" i="3"/>
  <c r="Z10" i="3"/>
  <c r="E12" i="20" s="1"/>
  <c r="E13" i="1" s="1"/>
  <c r="X80" i="3"/>
  <c r="Y51" i="3"/>
  <c r="D53" i="20" s="1"/>
  <c r="D54" i="1" s="1"/>
  <c r="Z45" i="3"/>
  <c r="Z23" i="3"/>
  <c r="E25" i="20" s="1"/>
  <c r="E26" i="1" s="1"/>
  <c r="AA23" i="3"/>
  <c r="F25" i="20" s="1"/>
  <c r="F26" i="1" s="1"/>
  <c r="Y23" i="3"/>
  <c r="D25" i="20" s="1"/>
  <c r="D26" i="1" s="1"/>
  <c r="X18" i="3"/>
  <c r="AA18" i="3"/>
  <c r="F20" i="20" s="1"/>
  <c r="F21" i="1" s="1"/>
  <c r="H7" i="13"/>
  <c r="X82" i="3"/>
  <c r="X49" i="3"/>
  <c r="C51" i="20" s="1"/>
  <c r="C52" i="1" s="1"/>
  <c r="Z46" i="3"/>
  <c r="X27" i="3"/>
  <c r="C29" i="20" s="1"/>
  <c r="Y27" i="3"/>
  <c r="X23" i="3"/>
  <c r="X19" i="3"/>
  <c r="X15" i="3"/>
  <c r="Z15" i="3"/>
  <c r="E17" i="20" s="1"/>
  <c r="E18" i="1" s="1"/>
  <c r="AA15" i="3"/>
  <c r="F17" i="20" s="1"/>
  <c r="F18" i="1" s="1"/>
  <c r="Y15" i="3"/>
  <c r="D17" i="20" s="1"/>
  <c r="D18" i="1" s="1"/>
  <c r="X69" i="3"/>
  <c r="Z28" i="3"/>
  <c r="AA24" i="3"/>
  <c r="Y16" i="3"/>
  <c r="AA35" i="3"/>
  <c r="X28" i="3"/>
  <c r="C30" i="20" s="1"/>
  <c r="X25" i="3"/>
  <c r="Z25" i="3"/>
  <c r="E27" i="20" s="1"/>
  <c r="E28" i="1" s="1"/>
  <c r="X17" i="3"/>
  <c r="AA17" i="3"/>
  <c r="F19" i="20" s="1"/>
  <c r="F20" i="1" s="1"/>
  <c r="X26" i="3"/>
  <c r="AA26" i="3"/>
  <c r="Y26" i="3"/>
  <c r="D28" i="20" s="1"/>
  <c r="D29" i="1" s="1"/>
  <c r="Y13" i="3"/>
  <c r="D15" i="20" s="1"/>
  <c r="D16" i="1" s="1"/>
  <c r="AA13" i="3"/>
  <c r="F15" i="20" s="1"/>
  <c r="F16" i="1" s="1"/>
  <c r="X13" i="3"/>
  <c r="Z11" i="3"/>
  <c r="E47" i="20" l="1"/>
  <c r="E48" i="1" s="1"/>
  <c r="F46" i="20"/>
  <c r="F47" i="1" s="1"/>
  <c r="F39" i="20"/>
  <c r="F40" i="1" s="1"/>
  <c r="D38" i="20"/>
  <c r="E43" i="20"/>
  <c r="E44" i="1" s="1"/>
  <c r="E46" i="20"/>
  <c r="E47" i="1" s="1"/>
  <c r="D42" i="20"/>
  <c r="G49" i="20"/>
  <c r="H49" i="20" s="1"/>
  <c r="I49" i="20" s="1"/>
  <c r="L49" i="20" s="1"/>
  <c r="E50" i="1"/>
  <c r="G50" i="1" s="1"/>
  <c r="H50" i="1" s="1"/>
  <c r="I50" i="1" s="1"/>
  <c r="Q50" i="1" s="1"/>
  <c r="D36" i="20"/>
  <c r="D37" i="1" s="1"/>
  <c r="E34" i="20"/>
  <c r="E35" i="1" s="1"/>
  <c r="F48" i="20"/>
  <c r="F49" i="1" s="1"/>
  <c r="C48" i="20"/>
  <c r="E31" i="20"/>
  <c r="E32" i="1" s="1"/>
  <c r="C40" i="20"/>
  <c r="F34" i="20"/>
  <c r="F35" i="1" s="1"/>
  <c r="C46" i="20"/>
  <c r="C47" i="1" s="1"/>
  <c r="C31" i="20"/>
  <c r="F43" i="20"/>
  <c r="F44" i="1" s="1"/>
  <c r="C43" i="20"/>
  <c r="F33" i="20"/>
  <c r="F34" i="1" s="1"/>
  <c r="F37" i="20"/>
  <c r="F38" i="1" s="1"/>
  <c r="F44" i="20"/>
  <c r="F45" i="1" s="1"/>
  <c r="E44" i="20"/>
  <c r="E45" i="1" s="1"/>
  <c r="E41" i="20"/>
  <c r="E45" i="20"/>
  <c r="C41" i="20"/>
  <c r="C42" i="1" s="1"/>
  <c r="F35" i="20"/>
  <c r="F36" i="1" s="1"/>
  <c r="E33" i="20"/>
  <c r="C45" i="20"/>
  <c r="C46" i="1" s="1"/>
  <c r="D32" i="20"/>
  <c r="D33" i="1" s="1"/>
  <c r="E39" i="20"/>
  <c r="E40" i="1" s="1"/>
  <c r="F32" i="20"/>
  <c r="F33" i="1" s="1"/>
  <c r="C37" i="20"/>
  <c r="C38" i="1" s="1"/>
  <c r="D44" i="20"/>
  <c r="D45" i="1" s="1"/>
  <c r="C44" i="20"/>
  <c r="C45" i="1" s="1"/>
  <c r="E35" i="20"/>
  <c r="E36" i="1" s="1"/>
  <c r="G53" i="20"/>
  <c r="H53" i="20" s="1"/>
  <c r="I53" i="20" s="1"/>
  <c r="L53" i="20" s="1"/>
  <c r="E54" i="1"/>
  <c r="G54" i="1" s="1"/>
  <c r="H54" i="1" s="1"/>
  <c r="I54" i="1" s="1"/>
  <c r="Q54" i="1" s="1"/>
  <c r="D41" i="20"/>
  <c r="D42" i="1" s="1"/>
  <c r="D30" i="20"/>
  <c r="D31" i="1" s="1"/>
  <c r="E38" i="20"/>
  <c r="E39" i="1" s="1"/>
  <c r="C33" i="20"/>
  <c r="C34" i="1" s="1"/>
  <c r="C38" i="20"/>
  <c r="C39" i="1" s="1"/>
  <c r="E36" i="20"/>
  <c r="E37" i="1" s="1"/>
  <c r="E37" i="20"/>
  <c r="E32" i="20"/>
  <c r="E33" i="1" s="1"/>
  <c r="F47" i="20"/>
  <c r="F48" i="1" s="1"/>
  <c r="F30" i="20"/>
  <c r="F31" i="1" s="1"/>
  <c r="F41" i="20"/>
  <c r="F42" i="1" s="1"/>
  <c r="D43" i="20"/>
  <c r="D44" i="1" s="1"/>
  <c r="E30" i="20"/>
  <c r="E31" i="1" s="1"/>
  <c r="D29" i="20"/>
  <c r="D30" i="1" s="1"/>
  <c r="G32" i="20"/>
  <c r="H32" i="20" s="1"/>
  <c r="I32" i="20" s="1"/>
  <c r="L32" i="20" s="1"/>
  <c r="F42" i="20"/>
  <c r="F43" i="1" s="1"/>
  <c r="E29" i="20"/>
  <c r="E40" i="20"/>
  <c r="E41" i="1" s="1"/>
  <c r="D39" i="20"/>
  <c r="D40" i="1" s="1"/>
  <c r="D34" i="20"/>
  <c r="D35" i="1" s="1"/>
  <c r="F38" i="20"/>
  <c r="F39" i="1" s="1"/>
  <c r="C36" i="20"/>
  <c r="C37" i="1" s="1"/>
  <c r="D48" i="20"/>
  <c r="D49" i="1" s="1"/>
  <c r="F28" i="20"/>
  <c r="F29" i="1" s="1"/>
  <c r="E48" i="20"/>
  <c r="E49" i="1" s="1"/>
  <c r="G46" i="20"/>
  <c r="H46" i="20" s="1"/>
  <c r="I46" i="20" s="1"/>
  <c r="L46" i="20" s="1"/>
  <c r="G50" i="20"/>
  <c r="H50" i="20" s="1"/>
  <c r="I50" i="20" s="1"/>
  <c r="L50" i="20" s="1"/>
  <c r="D51" i="1"/>
  <c r="G51" i="1" s="1"/>
  <c r="H51" i="1" s="1"/>
  <c r="I51" i="1" s="1"/>
  <c r="Q51" i="1" s="1"/>
  <c r="G53" i="1"/>
  <c r="H53" i="1" s="1"/>
  <c r="I53" i="1" s="1"/>
  <c r="Q53" i="1" s="1"/>
  <c r="F31" i="20"/>
  <c r="F32" i="1" s="1"/>
  <c r="F45" i="20"/>
  <c r="F46" i="1" s="1"/>
  <c r="D37" i="20"/>
  <c r="D38" i="1" s="1"/>
  <c r="E42" i="20"/>
  <c r="E43" i="1" s="1"/>
  <c r="C34" i="20"/>
  <c r="C35" i="1" s="1"/>
  <c r="C39" i="20"/>
  <c r="C40" i="1" s="1"/>
  <c r="D35" i="20"/>
  <c r="D36" i="1" s="1"/>
  <c r="C42" i="20"/>
  <c r="C43" i="1" s="1"/>
  <c r="F40" i="20"/>
  <c r="F41" i="1" s="1"/>
  <c r="G54" i="20"/>
  <c r="H54" i="20" s="1"/>
  <c r="I54" i="20" s="1"/>
  <c r="L54" i="20" s="1"/>
  <c r="D55" i="1"/>
  <c r="G55" i="1" s="1"/>
  <c r="H55" i="1" s="1"/>
  <c r="I55" i="1" s="1"/>
  <c r="Q55" i="1" s="1"/>
  <c r="F29" i="20"/>
  <c r="F30" i="1" s="1"/>
  <c r="D33" i="20"/>
  <c r="D34" i="1" s="1"/>
  <c r="D40" i="20"/>
  <c r="D41" i="1" s="1"/>
  <c r="D45" i="20"/>
  <c r="D46" i="1" s="1"/>
  <c r="C47" i="20"/>
  <c r="C48" i="1" s="1"/>
  <c r="D47" i="20"/>
  <c r="G52" i="1"/>
  <c r="H52" i="1" s="1"/>
  <c r="I52" i="1" s="1"/>
  <c r="Q52" i="1" s="1"/>
  <c r="F36" i="20"/>
  <c r="F37" i="1" s="1"/>
  <c r="B90" i="3"/>
  <c r="L92" i="20"/>
  <c r="T92" i="20" s="1"/>
  <c r="U92" i="20" s="1"/>
  <c r="B89" i="3"/>
  <c r="L91" i="20"/>
  <c r="T91" i="20" s="1"/>
  <c r="U91" i="20" s="1"/>
  <c r="G52" i="20"/>
  <c r="H52" i="20" s="1"/>
  <c r="I52" i="20" s="1"/>
  <c r="L52" i="20" s="1"/>
  <c r="G51" i="20"/>
  <c r="H51" i="20" s="1"/>
  <c r="I51" i="20" s="1"/>
  <c r="L51" i="20" s="1"/>
  <c r="I108" i="12"/>
  <c r="G108" i="12"/>
  <c r="G36" i="13"/>
  <c r="G55" i="20"/>
  <c r="H55" i="20" s="1"/>
  <c r="I55" i="20" s="1"/>
  <c r="B53" i="3" s="1"/>
  <c r="G58" i="20"/>
  <c r="H58" i="20" s="1"/>
  <c r="I58" i="20" s="1"/>
  <c r="B56" i="3" s="1"/>
  <c r="G89" i="20"/>
  <c r="H89" i="20" s="1"/>
  <c r="I89" i="20" s="1"/>
  <c r="B87" i="3" s="1"/>
  <c r="AB81" i="3"/>
  <c r="AC81" i="3" s="1"/>
  <c r="J83" i="20" s="1"/>
  <c r="K83" i="20" s="1"/>
  <c r="G86" i="20"/>
  <c r="H86" i="20" s="1"/>
  <c r="I86" i="20" s="1"/>
  <c r="B84" i="3" s="1"/>
  <c r="AB84" i="3"/>
  <c r="AC84" i="3" s="1"/>
  <c r="J86" i="20" s="1"/>
  <c r="K86" i="20" s="1"/>
  <c r="AB32" i="3"/>
  <c r="AC32" i="3" s="1"/>
  <c r="J34" i="20" s="1"/>
  <c r="K34" i="20" s="1"/>
  <c r="G81" i="20"/>
  <c r="H81" i="20" s="1"/>
  <c r="I81" i="20" s="1"/>
  <c r="B79" i="3" s="1"/>
  <c r="AB33" i="3"/>
  <c r="AC33" i="3" s="1"/>
  <c r="J35" i="20" s="1"/>
  <c r="K35" i="20" s="1"/>
  <c r="G76" i="20"/>
  <c r="H76" i="20" s="1"/>
  <c r="I76" i="20" s="1"/>
  <c r="B74" i="3" s="1"/>
  <c r="C33" i="13"/>
  <c r="E33" i="13" s="1"/>
  <c r="F33" i="13" s="1"/>
  <c r="AB74" i="3"/>
  <c r="AC74" i="3" s="1"/>
  <c r="J76" i="20" s="1"/>
  <c r="K76" i="20" s="1"/>
  <c r="G72" i="20"/>
  <c r="H72" i="20" s="1"/>
  <c r="I72" i="20" s="1"/>
  <c r="B70" i="3" s="1"/>
  <c r="AB31" i="3"/>
  <c r="AC31" i="3" s="1"/>
  <c r="J33" i="20" s="1"/>
  <c r="K33" i="20" s="1"/>
  <c r="G65" i="20"/>
  <c r="H65" i="20" s="1"/>
  <c r="I65" i="20" s="1"/>
  <c r="B63" i="3" s="1"/>
  <c r="G87" i="20"/>
  <c r="H87" i="20" s="1"/>
  <c r="I87" i="20" s="1"/>
  <c r="B85" i="3" s="1"/>
  <c r="AB63" i="3"/>
  <c r="AC63" i="3" s="1"/>
  <c r="J65" i="20" s="1"/>
  <c r="K65" i="20" s="1"/>
  <c r="AB39" i="3"/>
  <c r="AC39" i="3" s="1"/>
  <c r="J41" i="20" s="1"/>
  <c r="K41" i="20" s="1"/>
  <c r="C34" i="13"/>
  <c r="E34" i="13" s="1"/>
  <c r="AB37" i="3"/>
  <c r="AC37" i="3" s="1"/>
  <c r="J39" i="20" s="1"/>
  <c r="K39" i="20" s="1"/>
  <c r="AB52" i="3"/>
  <c r="AC52" i="3" s="1"/>
  <c r="J54" i="20" s="1"/>
  <c r="K54" i="20" s="1"/>
  <c r="G63" i="20"/>
  <c r="H63" i="20" s="1"/>
  <c r="I63" i="20" s="1"/>
  <c r="B61" i="3" s="1"/>
  <c r="AB38" i="3"/>
  <c r="AC38" i="3" s="1"/>
  <c r="J40" i="20" s="1"/>
  <c r="K40" i="20" s="1"/>
  <c r="AB61" i="3"/>
  <c r="AC61" i="3" s="1"/>
  <c r="J63" i="20" s="1"/>
  <c r="K63" i="20" s="1"/>
  <c r="G69" i="20"/>
  <c r="H69" i="20" s="1"/>
  <c r="I69" i="20" s="1"/>
  <c r="B67" i="3" s="1"/>
  <c r="AB41" i="3"/>
  <c r="AC41" i="3" s="1"/>
  <c r="J43" i="20" s="1"/>
  <c r="K43" i="20" s="1"/>
  <c r="G83" i="20"/>
  <c r="H83" i="20" s="1"/>
  <c r="I83" i="20" s="1"/>
  <c r="G57" i="20"/>
  <c r="H57" i="20" s="1"/>
  <c r="I57" i="20" s="1"/>
  <c r="B55" i="3" s="1"/>
  <c r="AB85" i="3"/>
  <c r="AC85" i="3" s="1"/>
  <c r="J87" i="20" s="1"/>
  <c r="K87" i="20" s="1"/>
  <c r="AB51" i="3"/>
  <c r="AC51" i="3" s="1"/>
  <c r="J53" i="20" s="1"/>
  <c r="K53" i="20" s="1"/>
  <c r="AB87" i="3"/>
  <c r="AC87" i="3" s="1"/>
  <c r="J89" i="20" s="1"/>
  <c r="K89" i="20" s="1"/>
  <c r="AB56" i="3"/>
  <c r="AC56" i="3" s="1"/>
  <c r="J58" i="20" s="1"/>
  <c r="K58" i="20" s="1"/>
  <c r="AB34" i="3"/>
  <c r="AC34" i="3" s="1"/>
  <c r="J36" i="20" s="1"/>
  <c r="K36" i="20" s="1"/>
  <c r="AB36" i="3"/>
  <c r="AC36" i="3" s="1"/>
  <c r="J38" i="20" s="1"/>
  <c r="K38" i="20" s="1"/>
  <c r="H18" i="13"/>
  <c r="AB64" i="3"/>
  <c r="AC64" i="3" s="1"/>
  <c r="J66" i="20" s="1"/>
  <c r="K66" i="20" s="1"/>
  <c r="AB42" i="3"/>
  <c r="AC42" i="3" s="1"/>
  <c r="J44" i="20" s="1"/>
  <c r="K44" i="20" s="1"/>
  <c r="B22" i="13"/>
  <c r="AB30" i="3"/>
  <c r="AC30" i="3" s="1"/>
  <c r="J32" i="20" s="1"/>
  <c r="K32" i="20" s="1"/>
  <c r="AB40" i="3"/>
  <c r="AC40" i="3" s="1"/>
  <c r="J42" i="20" s="1"/>
  <c r="K42" i="20" s="1"/>
  <c r="AB43" i="3"/>
  <c r="AC43" i="3" s="1"/>
  <c r="J45" i="20" s="1"/>
  <c r="K45" i="20" s="1"/>
  <c r="E68" i="20"/>
  <c r="G68" i="20" s="1"/>
  <c r="H68" i="20" s="1"/>
  <c r="I68" i="20" s="1"/>
  <c r="B66" i="3" s="1"/>
  <c r="AB66" i="3"/>
  <c r="AC66" i="3" s="1"/>
  <c r="J68" i="20" s="1"/>
  <c r="K68" i="20" s="1"/>
  <c r="AB35" i="3"/>
  <c r="AC35" i="3" s="1"/>
  <c r="J37" i="20" s="1"/>
  <c r="K37" i="20" s="1"/>
  <c r="AB21" i="3"/>
  <c r="AC21" i="3" s="1"/>
  <c r="J23" i="20" s="1"/>
  <c r="K23" i="20" s="1"/>
  <c r="AB29" i="3"/>
  <c r="AC29" i="3" s="1"/>
  <c r="J31" i="20" s="1"/>
  <c r="K31" i="20" s="1"/>
  <c r="F67" i="20"/>
  <c r="G67" i="20" s="1"/>
  <c r="H67" i="20" s="1"/>
  <c r="I67" i="20" s="1"/>
  <c r="AB65" i="3"/>
  <c r="AC65" i="3" s="1"/>
  <c r="J67" i="20" s="1"/>
  <c r="K67" i="20" s="1"/>
  <c r="AB53" i="3"/>
  <c r="AC53" i="3" s="1"/>
  <c r="J55" i="20" s="1"/>
  <c r="K55" i="20" s="1"/>
  <c r="F36" i="13"/>
  <c r="G38" i="13"/>
  <c r="H38" i="13"/>
  <c r="H35" i="13"/>
  <c r="G35" i="13"/>
  <c r="F35" i="13"/>
  <c r="C15" i="20"/>
  <c r="AB13" i="3"/>
  <c r="AC13" i="3" s="1"/>
  <c r="J15" i="20" s="1"/>
  <c r="K15" i="20" s="1"/>
  <c r="D18" i="20"/>
  <c r="AB16" i="3"/>
  <c r="AC16" i="3" s="1"/>
  <c r="J18" i="20" s="1"/>
  <c r="K18" i="20" s="1"/>
  <c r="C21" i="20"/>
  <c r="AB19" i="3"/>
  <c r="AC19" i="3" s="1"/>
  <c r="J21" i="20" s="1"/>
  <c r="K21" i="20" s="1"/>
  <c r="AB48" i="3"/>
  <c r="AC48" i="3" s="1"/>
  <c r="J50" i="20" s="1"/>
  <c r="K50" i="20" s="1"/>
  <c r="D59" i="20"/>
  <c r="G59" i="20" s="1"/>
  <c r="H59" i="20" s="1"/>
  <c r="I59" i="20" s="1"/>
  <c r="AB57" i="3"/>
  <c r="AC57" i="3" s="1"/>
  <c r="J59" i="20" s="1"/>
  <c r="K59" i="20" s="1"/>
  <c r="H32" i="13"/>
  <c r="I31" i="13"/>
  <c r="J31" i="13" s="1"/>
  <c r="G32" i="13"/>
  <c r="C28" i="20"/>
  <c r="AB26" i="3"/>
  <c r="AC26" i="3" s="1"/>
  <c r="J28" i="20" s="1"/>
  <c r="K28" i="20" s="1"/>
  <c r="C27" i="20"/>
  <c r="AB25" i="3"/>
  <c r="AC25" i="3" s="1"/>
  <c r="J27" i="20" s="1"/>
  <c r="K27" i="20" s="1"/>
  <c r="F26" i="20"/>
  <c r="AB24" i="3"/>
  <c r="AC24" i="3" s="1"/>
  <c r="J26" i="20" s="1"/>
  <c r="K26" i="20" s="1"/>
  <c r="C25" i="20"/>
  <c r="AB23" i="3"/>
  <c r="AC23" i="3" s="1"/>
  <c r="J25" i="20" s="1"/>
  <c r="K25" i="20" s="1"/>
  <c r="AB49" i="3"/>
  <c r="AC49" i="3" s="1"/>
  <c r="J51" i="20" s="1"/>
  <c r="K51" i="20" s="1"/>
  <c r="C12" i="20"/>
  <c r="AB10" i="3"/>
  <c r="AC10" i="3" s="1"/>
  <c r="J12" i="20" s="1"/>
  <c r="K12" i="20" s="1"/>
  <c r="C74" i="20"/>
  <c r="G74" i="20" s="1"/>
  <c r="H74" i="20" s="1"/>
  <c r="I74" i="20" s="1"/>
  <c r="AB72" i="3"/>
  <c r="AC72" i="3" s="1"/>
  <c r="J74" i="20" s="1"/>
  <c r="K74" i="20" s="1"/>
  <c r="AB50" i="3"/>
  <c r="AC50" i="3" s="1"/>
  <c r="J52" i="20" s="1"/>
  <c r="K52" i="20" s="1"/>
  <c r="C14" i="20"/>
  <c r="AB12" i="3"/>
  <c r="AC12" i="3" s="1"/>
  <c r="J14" i="20" s="1"/>
  <c r="K14" i="20" s="1"/>
  <c r="AB45" i="3"/>
  <c r="AC45" i="3" s="1"/>
  <c r="J47" i="20" s="1"/>
  <c r="K47" i="20" s="1"/>
  <c r="G66" i="20"/>
  <c r="H66" i="20" s="1"/>
  <c r="I66" i="20" s="1"/>
  <c r="H37" i="13"/>
  <c r="G37" i="13"/>
  <c r="F37" i="13"/>
  <c r="AB58" i="3"/>
  <c r="AC58" i="3" s="1"/>
  <c r="J60" i="20" s="1"/>
  <c r="K60" i="20" s="1"/>
  <c r="AB47" i="3"/>
  <c r="AC47" i="3" s="1"/>
  <c r="J49" i="20" s="1"/>
  <c r="K49" i="20" s="1"/>
  <c r="C56" i="20"/>
  <c r="G56" i="20" s="1"/>
  <c r="H56" i="20" s="1"/>
  <c r="I56" i="20" s="1"/>
  <c r="AB54" i="3"/>
  <c r="AC54" i="3" s="1"/>
  <c r="J56" i="20" s="1"/>
  <c r="K56" i="20" s="1"/>
  <c r="AB46" i="3"/>
  <c r="AC46" i="3" s="1"/>
  <c r="J48" i="20" s="1"/>
  <c r="K48" i="20" s="1"/>
  <c r="G73" i="20"/>
  <c r="H73" i="20" s="1"/>
  <c r="I73" i="20" s="1"/>
  <c r="AB28" i="3"/>
  <c r="AC28" i="3" s="1"/>
  <c r="J30" i="20" s="1"/>
  <c r="K30" i="20" s="1"/>
  <c r="C84" i="20"/>
  <c r="G84" i="20" s="1"/>
  <c r="H84" i="20" s="1"/>
  <c r="I84" i="20" s="1"/>
  <c r="AB82" i="3"/>
  <c r="AC82" i="3" s="1"/>
  <c r="J84" i="20" s="1"/>
  <c r="K84" i="20" s="1"/>
  <c r="C82" i="20"/>
  <c r="G82" i="20" s="1"/>
  <c r="H82" i="20" s="1"/>
  <c r="I82" i="20" s="1"/>
  <c r="AB80" i="3"/>
  <c r="AC80" i="3" s="1"/>
  <c r="J82" i="20" s="1"/>
  <c r="K82" i="20" s="1"/>
  <c r="AB44" i="3"/>
  <c r="AC44" i="3" s="1"/>
  <c r="J46" i="20" s="1"/>
  <c r="K46" i="20" s="1"/>
  <c r="G64" i="20"/>
  <c r="H64" i="20" s="1"/>
  <c r="I64" i="20" s="1"/>
  <c r="C70" i="20"/>
  <c r="G70" i="20" s="1"/>
  <c r="H70" i="20" s="1"/>
  <c r="I70" i="20" s="1"/>
  <c r="AB68" i="3"/>
  <c r="AC68" i="3" s="1"/>
  <c r="J70" i="20" s="1"/>
  <c r="K70" i="20" s="1"/>
  <c r="C75" i="20"/>
  <c r="G75" i="20" s="1"/>
  <c r="H75" i="20" s="1"/>
  <c r="I75" i="20" s="1"/>
  <c r="AB73" i="3"/>
  <c r="AC73" i="3" s="1"/>
  <c r="J75" i="20" s="1"/>
  <c r="K75" i="20" s="1"/>
  <c r="C78" i="20"/>
  <c r="G78" i="20" s="1"/>
  <c r="H78" i="20" s="1"/>
  <c r="I78" i="20" s="1"/>
  <c r="AB76" i="3"/>
  <c r="AC76" i="3" s="1"/>
  <c r="J78" i="20" s="1"/>
  <c r="K78" i="20" s="1"/>
  <c r="D90" i="20"/>
  <c r="G90" i="20" s="1"/>
  <c r="H90" i="20" s="1"/>
  <c r="I90" i="20" s="1"/>
  <c r="AB88" i="3"/>
  <c r="AC88" i="3" s="1"/>
  <c r="J90" i="20" s="1"/>
  <c r="K90" i="20" s="1"/>
  <c r="C80" i="20"/>
  <c r="G80" i="20" s="1"/>
  <c r="H80" i="20" s="1"/>
  <c r="I80" i="20" s="1"/>
  <c r="AB78" i="3"/>
  <c r="AC78" i="3" s="1"/>
  <c r="J80" i="20" s="1"/>
  <c r="K80" i="20" s="1"/>
  <c r="AB55" i="3"/>
  <c r="AC55" i="3" s="1"/>
  <c r="J57" i="20" s="1"/>
  <c r="K57" i="20" s="1"/>
  <c r="C11" i="20"/>
  <c r="AB9" i="3"/>
  <c r="AC9" i="3" s="1"/>
  <c r="J11" i="20" s="1"/>
  <c r="K11" i="20" s="1"/>
  <c r="G62" i="20"/>
  <c r="H62" i="20" s="1"/>
  <c r="I62" i="20" s="1"/>
  <c r="AB62" i="3"/>
  <c r="AC62" i="3" s="1"/>
  <c r="J64" i="20" s="1"/>
  <c r="K64" i="20" s="1"/>
  <c r="AB79" i="3"/>
  <c r="AC79" i="3" s="1"/>
  <c r="J81" i="20" s="1"/>
  <c r="K81" i="20" s="1"/>
  <c r="D32" i="1"/>
  <c r="G60" i="20"/>
  <c r="H60" i="20" s="1"/>
  <c r="I60" i="20" s="1"/>
  <c r="E77" i="20"/>
  <c r="G77" i="20" s="1"/>
  <c r="H77" i="20" s="1"/>
  <c r="I77" i="20" s="1"/>
  <c r="AB75" i="3"/>
  <c r="AC75" i="3" s="1"/>
  <c r="J77" i="20" s="1"/>
  <c r="K77" i="20" s="1"/>
  <c r="C88" i="20"/>
  <c r="G88" i="20" s="1"/>
  <c r="H88" i="20" s="1"/>
  <c r="I88" i="20" s="1"/>
  <c r="AB86" i="3"/>
  <c r="AC86" i="3" s="1"/>
  <c r="J88" i="20" s="1"/>
  <c r="K88" i="20" s="1"/>
  <c r="C22" i="20"/>
  <c r="AB20" i="3"/>
  <c r="AC20" i="3" s="1"/>
  <c r="J22" i="20" s="1"/>
  <c r="K22" i="20" s="1"/>
  <c r="E13" i="20"/>
  <c r="AB11" i="3"/>
  <c r="AC11" i="3" s="1"/>
  <c r="J13" i="20" s="1"/>
  <c r="K13" i="20" s="1"/>
  <c r="C19" i="20"/>
  <c r="AB17" i="3"/>
  <c r="AC17" i="3" s="1"/>
  <c r="J19" i="20" s="1"/>
  <c r="K19" i="20" s="1"/>
  <c r="C71" i="20"/>
  <c r="G71" i="20" s="1"/>
  <c r="H71" i="20" s="1"/>
  <c r="I71" i="20" s="1"/>
  <c r="AB69" i="3"/>
  <c r="AC69" i="3" s="1"/>
  <c r="J71" i="20" s="1"/>
  <c r="K71" i="20" s="1"/>
  <c r="C17" i="20"/>
  <c r="AB15" i="3"/>
  <c r="AC15" i="3" s="1"/>
  <c r="J17" i="20" s="1"/>
  <c r="K17" i="20" s="1"/>
  <c r="AB27" i="3"/>
  <c r="AC27" i="3" s="1"/>
  <c r="J29" i="20" s="1"/>
  <c r="K29" i="20" s="1"/>
  <c r="C20" i="20"/>
  <c r="AB18" i="3"/>
  <c r="AC18" i="3" s="1"/>
  <c r="J20" i="20" s="1"/>
  <c r="K20" i="20" s="1"/>
  <c r="C61" i="20"/>
  <c r="G61" i="20" s="1"/>
  <c r="H61" i="20" s="1"/>
  <c r="I61" i="20" s="1"/>
  <c r="AB59" i="3"/>
  <c r="AC59" i="3" s="1"/>
  <c r="J61" i="20" s="1"/>
  <c r="K61" i="20" s="1"/>
  <c r="C79" i="20"/>
  <c r="G79" i="20" s="1"/>
  <c r="H79" i="20" s="1"/>
  <c r="I79" i="20" s="1"/>
  <c r="AB77" i="3"/>
  <c r="AC77" i="3" s="1"/>
  <c r="J79" i="20" s="1"/>
  <c r="K79" i="20" s="1"/>
  <c r="C24" i="20"/>
  <c r="AB22" i="3"/>
  <c r="AC22" i="3" s="1"/>
  <c r="J24" i="20" s="1"/>
  <c r="K24" i="20" s="1"/>
  <c r="C85" i="20"/>
  <c r="G85" i="20" s="1"/>
  <c r="H85" i="20" s="1"/>
  <c r="I85" i="20" s="1"/>
  <c r="AB83" i="3"/>
  <c r="AC83" i="3" s="1"/>
  <c r="J85" i="20" s="1"/>
  <c r="K85" i="20" s="1"/>
  <c r="AB67" i="3"/>
  <c r="AC67" i="3" s="1"/>
  <c r="J69" i="20" s="1"/>
  <c r="K69" i="20" s="1"/>
  <c r="C16" i="20"/>
  <c r="AB14" i="3"/>
  <c r="AC14" i="3" s="1"/>
  <c r="J16" i="20" s="1"/>
  <c r="K16" i="20" s="1"/>
  <c r="D24" i="1"/>
  <c r="G24" i="1" s="1"/>
  <c r="H24" i="1" s="1"/>
  <c r="I24" i="1" s="1"/>
  <c r="Q24" i="1" s="1"/>
  <c r="G23" i="20"/>
  <c r="H23" i="20" s="1"/>
  <c r="I23" i="20" s="1"/>
  <c r="AB70" i="3"/>
  <c r="AC70" i="3" s="1"/>
  <c r="J72" i="20" s="1"/>
  <c r="K72" i="20" s="1"/>
  <c r="AB71" i="3"/>
  <c r="AC71" i="3" s="1"/>
  <c r="J73" i="20" s="1"/>
  <c r="K73" i="20" s="1"/>
  <c r="AB60" i="3"/>
  <c r="AC60" i="3" s="1"/>
  <c r="J62" i="20" s="1"/>
  <c r="K62" i="20" s="1"/>
  <c r="B47" i="3" l="1"/>
  <c r="G47" i="20"/>
  <c r="H47" i="20" s="1"/>
  <c r="I47" i="20" s="1"/>
  <c r="L47" i="20" s="1"/>
  <c r="L86" i="20"/>
  <c r="T86" i="20" s="1"/>
  <c r="U86" i="20" s="1"/>
  <c r="G40" i="1"/>
  <c r="H40" i="1" s="1"/>
  <c r="I40" i="1" s="1"/>
  <c r="Q40" i="1" s="1"/>
  <c r="G29" i="20"/>
  <c r="H29" i="20" s="1"/>
  <c r="I29" i="20" s="1"/>
  <c r="L29" i="20" s="1"/>
  <c r="G31" i="20"/>
  <c r="H31" i="20" s="1"/>
  <c r="I31" i="20" s="1"/>
  <c r="L31" i="20" s="1"/>
  <c r="T31" i="20" s="1"/>
  <c r="U31" i="20" s="1"/>
  <c r="G45" i="1"/>
  <c r="H45" i="1" s="1"/>
  <c r="I45" i="1" s="1"/>
  <c r="Q45" i="1" s="1"/>
  <c r="G37" i="20"/>
  <c r="H37" i="20" s="1"/>
  <c r="I37" i="20" s="1"/>
  <c r="L37" i="20" s="1"/>
  <c r="T37" i="20" s="1"/>
  <c r="U37" i="20" s="1"/>
  <c r="L55" i="20"/>
  <c r="T55" i="20" s="1"/>
  <c r="U55" i="20" s="1"/>
  <c r="G43" i="20"/>
  <c r="H43" i="20" s="1"/>
  <c r="I43" i="20" s="1"/>
  <c r="L43" i="20" s="1"/>
  <c r="G35" i="1"/>
  <c r="H35" i="1" s="1"/>
  <c r="I35" i="1" s="1"/>
  <c r="Q35" i="1" s="1"/>
  <c r="G37" i="1"/>
  <c r="H37" i="1" s="1"/>
  <c r="I37" i="1" s="1"/>
  <c r="Q37" i="1" s="1"/>
  <c r="G45" i="20"/>
  <c r="H45" i="20" s="1"/>
  <c r="I45" i="20" s="1"/>
  <c r="L45" i="20" s="1"/>
  <c r="T45" i="20" s="1"/>
  <c r="U45" i="20" s="1"/>
  <c r="G42" i="20"/>
  <c r="H42" i="20" s="1"/>
  <c r="I42" i="20" s="1"/>
  <c r="E46" i="1"/>
  <c r="G46" i="1" s="1"/>
  <c r="H46" i="1" s="1"/>
  <c r="I46" i="1" s="1"/>
  <c r="Q46" i="1" s="1"/>
  <c r="C44" i="1"/>
  <c r="G44" i="1" s="1"/>
  <c r="H44" i="1" s="1"/>
  <c r="I44" i="1" s="1"/>
  <c r="Q44" i="1" s="1"/>
  <c r="C32" i="1"/>
  <c r="G32" i="1" s="1"/>
  <c r="H32" i="1" s="1"/>
  <c r="I32" i="1" s="1"/>
  <c r="Q32" i="1" s="1"/>
  <c r="D43" i="1"/>
  <c r="G43" i="1" s="1"/>
  <c r="H43" i="1" s="1"/>
  <c r="I43" i="1" s="1"/>
  <c r="Q43" i="1" s="1"/>
  <c r="E30" i="1"/>
  <c r="E38" i="1"/>
  <c r="G38" i="1" s="1"/>
  <c r="H38" i="1" s="1"/>
  <c r="I38" i="1" s="1"/>
  <c r="Q38" i="1" s="1"/>
  <c r="G33" i="20"/>
  <c r="H33" i="20" s="1"/>
  <c r="I33" i="20" s="1"/>
  <c r="G41" i="20"/>
  <c r="H41" i="20" s="1"/>
  <c r="I41" i="20" s="1"/>
  <c r="G40" i="20"/>
  <c r="H40" i="20" s="1"/>
  <c r="I40" i="20" s="1"/>
  <c r="G48" i="20"/>
  <c r="H48" i="20" s="1"/>
  <c r="I48" i="20" s="1"/>
  <c r="G38" i="20"/>
  <c r="H38" i="20" s="1"/>
  <c r="I38" i="20" s="1"/>
  <c r="G39" i="20"/>
  <c r="H39" i="20" s="1"/>
  <c r="I39" i="20" s="1"/>
  <c r="L81" i="20"/>
  <c r="T81" i="20" s="1"/>
  <c r="U81" i="20" s="1"/>
  <c r="B41" i="3"/>
  <c r="D48" i="1"/>
  <c r="G48" i="1" s="1"/>
  <c r="H48" i="1" s="1"/>
  <c r="I48" i="1" s="1"/>
  <c r="Q48" i="1" s="1"/>
  <c r="B52" i="3"/>
  <c r="G35" i="20"/>
  <c r="H35" i="20" s="1"/>
  <c r="I35" i="20" s="1"/>
  <c r="L35" i="20" s="1"/>
  <c r="G36" i="20"/>
  <c r="H36" i="20" s="1"/>
  <c r="I36" i="20" s="1"/>
  <c r="G34" i="20"/>
  <c r="H34" i="20" s="1"/>
  <c r="I34" i="20" s="1"/>
  <c r="G30" i="20"/>
  <c r="H30" i="20" s="1"/>
  <c r="I30" i="20" s="1"/>
  <c r="L30" i="20" s="1"/>
  <c r="G44" i="20"/>
  <c r="H44" i="20" s="1"/>
  <c r="I44" i="20" s="1"/>
  <c r="E34" i="1"/>
  <c r="G34" i="1" s="1"/>
  <c r="H34" i="1" s="1"/>
  <c r="I34" i="1" s="1"/>
  <c r="Q34" i="1" s="1"/>
  <c r="E42" i="1"/>
  <c r="G42" i="1" s="1"/>
  <c r="H42" i="1" s="1"/>
  <c r="I42" i="1" s="1"/>
  <c r="Q42" i="1" s="1"/>
  <c r="C41" i="1"/>
  <c r="G41" i="1" s="1"/>
  <c r="H41" i="1" s="1"/>
  <c r="I41" i="1" s="1"/>
  <c r="Q41" i="1" s="1"/>
  <c r="C49" i="1"/>
  <c r="G49" i="1" s="1"/>
  <c r="H49" i="1" s="1"/>
  <c r="I49" i="1" s="1"/>
  <c r="Q49" i="1" s="1"/>
  <c r="D39" i="1"/>
  <c r="G39" i="1" s="1"/>
  <c r="H39" i="1" s="1"/>
  <c r="I39" i="1" s="1"/>
  <c r="Q39" i="1" s="1"/>
  <c r="D47" i="1"/>
  <c r="G47" i="1" s="1"/>
  <c r="H47" i="1" s="1"/>
  <c r="I47" i="1" s="1"/>
  <c r="Q47" i="1" s="1"/>
  <c r="L57" i="20"/>
  <c r="T57" i="20" s="1"/>
  <c r="U57" i="20" s="1"/>
  <c r="G34" i="13"/>
  <c r="F34" i="13"/>
  <c r="T49" i="20"/>
  <c r="U49" i="20" s="1"/>
  <c r="B33" i="3"/>
  <c r="C36" i="1"/>
  <c r="G36" i="1" s="1"/>
  <c r="H36" i="1" s="1"/>
  <c r="I36" i="1" s="1"/>
  <c r="Q36" i="1" s="1"/>
  <c r="H34" i="13"/>
  <c r="L65" i="20"/>
  <c r="T65" i="20" s="1"/>
  <c r="U65" i="20" s="1"/>
  <c r="J36" i="13"/>
  <c r="K36" i="13" s="1"/>
  <c r="M36" i="13" s="1"/>
  <c r="N36" i="13" s="1"/>
  <c r="L58" i="20"/>
  <c r="T58" i="20" s="1"/>
  <c r="U58" i="20" s="1"/>
  <c r="L63" i="20"/>
  <c r="T63" i="20" s="1"/>
  <c r="U63" i="20" s="1"/>
  <c r="L89" i="20"/>
  <c r="T89" i="20" s="1"/>
  <c r="U89" i="20" s="1"/>
  <c r="L76" i="20"/>
  <c r="T76" i="20" s="1"/>
  <c r="U76" i="20" s="1"/>
  <c r="G33" i="13"/>
  <c r="T43" i="20"/>
  <c r="U43" i="20" s="1"/>
  <c r="L72" i="20"/>
  <c r="T72" i="20" s="1"/>
  <c r="U72" i="20" s="1"/>
  <c r="H33" i="13"/>
  <c r="L68" i="20"/>
  <c r="T68" i="20" s="1"/>
  <c r="U68" i="20" s="1"/>
  <c r="L69" i="20"/>
  <c r="T69" i="20" s="1"/>
  <c r="U69" i="20" s="1"/>
  <c r="T54" i="20"/>
  <c r="U54" i="20" s="1"/>
  <c r="L87" i="20"/>
  <c r="T87" i="20" s="1"/>
  <c r="U87" i="20" s="1"/>
  <c r="B81" i="3"/>
  <c r="L83" i="20"/>
  <c r="T83" i="20" s="1"/>
  <c r="U83" i="20" s="1"/>
  <c r="J38" i="13"/>
  <c r="K38" i="13" s="1"/>
  <c r="M38" i="13" s="1"/>
  <c r="N38" i="13" s="1"/>
  <c r="L67" i="20"/>
  <c r="T67" i="20" s="1"/>
  <c r="U67" i="20" s="1"/>
  <c r="B65" i="3"/>
  <c r="C33" i="1"/>
  <c r="G33" i="1" s="1"/>
  <c r="H33" i="1" s="1"/>
  <c r="I33" i="1" s="1"/>
  <c r="Q33" i="1" s="1"/>
  <c r="B30" i="3"/>
  <c r="J35" i="13"/>
  <c r="K35" i="13" s="1"/>
  <c r="M35" i="13" s="1"/>
  <c r="N35" i="13" s="1"/>
  <c r="B57" i="13"/>
  <c r="L59" i="20"/>
  <c r="T59" i="20" s="1"/>
  <c r="U59" i="20" s="1"/>
  <c r="B57" i="3"/>
  <c r="B83" i="3"/>
  <c r="L85" i="20"/>
  <c r="T85" i="20" s="1"/>
  <c r="U85" i="20" s="1"/>
  <c r="B75" i="3"/>
  <c r="L77" i="20"/>
  <c r="T77" i="20" s="1"/>
  <c r="U77" i="20" s="1"/>
  <c r="B88" i="3"/>
  <c r="L90" i="20"/>
  <c r="T90" i="20" s="1"/>
  <c r="U90" i="20" s="1"/>
  <c r="B82" i="3"/>
  <c r="L84" i="20"/>
  <c r="T84" i="20" s="1"/>
  <c r="U84" i="20" s="1"/>
  <c r="L56" i="20"/>
  <c r="T56" i="20" s="1"/>
  <c r="U56" i="20" s="1"/>
  <c r="B54" i="3"/>
  <c r="C15" i="1"/>
  <c r="G14" i="20"/>
  <c r="H14" i="20" s="1"/>
  <c r="I14" i="20" s="1"/>
  <c r="B50" i="3"/>
  <c r="T52" i="20"/>
  <c r="U52" i="20" s="1"/>
  <c r="D19" i="1"/>
  <c r="G19" i="1" s="1"/>
  <c r="H19" i="1" s="1"/>
  <c r="I19" i="1" s="1"/>
  <c r="Q19" i="1" s="1"/>
  <c r="G18" i="20"/>
  <c r="H18" i="20" s="1"/>
  <c r="I18" i="20" s="1"/>
  <c r="B59" i="3"/>
  <c r="L61" i="20"/>
  <c r="T61" i="20" s="1"/>
  <c r="U61" i="20" s="1"/>
  <c r="C30" i="1"/>
  <c r="B58" i="3"/>
  <c r="L60" i="20"/>
  <c r="T60" i="20" s="1"/>
  <c r="U60" i="20" s="1"/>
  <c r="B60" i="3"/>
  <c r="L62" i="20"/>
  <c r="T62" i="20" s="1"/>
  <c r="U62" i="20" s="1"/>
  <c r="L70" i="20"/>
  <c r="T70" i="20" s="1"/>
  <c r="U70" i="20" s="1"/>
  <c r="B68" i="3"/>
  <c r="B80" i="3"/>
  <c r="L82" i="20"/>
  <c r="T82" i="20" s="1"/>
  <c r="U82" i="20" s="1"/>
  <c r="J37" i="13"/>
  <c r="K37" i="13" s="1"/>
  <c r="M37" i="13" s="1"/>
  <c r="N37" i="13" s="1"/>
  <c r="B51" i="3"/>
  <c r="T53" i="20"/>
  <c r="U53" i="20" s="1"/>
  <c r="C26" i="1"/>
  <c r="G25" i="20"/>
  <c r="H25" i="20" s="1"/>
  <c r="I25" i="20" s="1"/>
  <c r="C29" i="1"/>
  <c r="G28" i="20"/>
  <c r="H28" i="20" s="1"/>
  <c r="I28" i="20" s="1"/>
  <c r="L23" i="20"/>
  <c r="T23" i="20" s="1"/>
  <c r="U23" i="20" s="1"/>
  <c r="B21" i="3"/>
  <c r="C17" i="1"/>
  <c r="G16" i="20"/>
  <c r="H16" i="20" s="1"/>
  <c r="I16" i="20" s="1"/>
  <c r="C18" i="1"/>
  <c r="G17" i="20"/>
  <c r="H17" i="20" s="1"/>
  <c r="I17" i="20" s="1"/>
  <c r="E14" i="1"/>
  <c r="G14" i="1" s="1"/>
  <c r="H14" i="1" s="1"/>
  <c r="I14" i="1" s="1"/>
  <c r="Q14" i="1" s="1"/>
  <c r="G13" i="20"/>
  <c r="H13" i="20" s="1"/>
  <c r="I13" i="20" s="1"/>
  <c r="B45" i="3"/>
  <c r="T47" i="20"/>
  <c r="U47" i="20" s="1"/>
  <c r="B71" i="3"/>
  <c r="L73" i="20"/>
  <c r="T73" i="20" s="1"/>
  <c r="U73" i="20" s="1"/>
  <c r="L79" i="20"/>
  <c r="T79" i="20" s="1"/>
  <c r="U79" i="20" s="1"/>
  <c r="B77" i="3"/>
  <c r="C21" i="1"/>
  <c r="G20" i="20"/>
  <c r="H20" i="20" s="1"/>
  <c r="I20" i="20" s="1"/>
  <c r="C20" i="1"/>
  <c r="G19" i="20"/>
  <c r="H19" i="20" s="1"/>
  <c r="I19" i="20" s="1"/>
  <c r="L88" i="20"/>
  <c r="T88" i="20" s="1"/>
  <c r="U88" i="20" s="1"/>
  <c r="B86" i="3"/>
  <c r="B78" i="3"/>
  <c r="L80" i="20"/>
  <c r="T80" i="20" s="1"/>
  <c r="U80" i="20" s="1"/>
  <c r="B73" i="3"/>
  <c r="L75" i="20"/>
  <c r="T75" i="20" s="1"/>
  <c r="U75" i="20" s="1"/>
  <c r="B62" i="3"/>
  <c r="L64" i="20"/>
  <c r="T64" i="20" s="1"/>
  <c r="U64" i="20" s="1"/>
  <c r="T46" i="20"/>
  <c r="U46" i="20" s="1"/>
  <c r="B44" i="3"/>
  <c r="B64" i="3"/>
  <c r="L66" i="20"/>
  <c r="T66" i="20" s="1"/>
  <c r="U66" i="20" s="1"/>
  <c r="L74" i="20"/>
  <c r="T74" i="20" s="1"/>
  <c r="U74" i="20" s="1"/>
  <c r="B72" i="3"/>
  <c r="T51" i="20"/>
  <c r="U51" i="20" s="1"/>
  <c r="B49" i="3"/>
  <c r="C28" i="1"/>
  <c r="G27" i="20"/>
  <c r="H27" i="20" s="1"/>
  <c r="I27" i="20" s="1"/>
  <c r="J32" i="13"/>
  <c r="K32" i="13" s="1"/>
  <c r="C22" i="1"/>
  <c r="G21" i="20"/>
  <c r="H21" i="20" s="1"/>
  <c r="I21" i="20" s="1"/>
  <c r="C12" i="1"/>
  <c r="G11" i="20"/>
  <c r="H11" i="20" s="1"/>
  <c r="I11" i="20" s="1"/>
  <c r="C25" i="1"/>
  <c r="G24" i="20"/>
  <c r="H24" i="20" s="1"/>
  <c r="I24" i="20" s="1"/>
  <c r="B69" i="3"/>
  <c r="L71" i="20"/>
  <c r="T71" i="20" s="1"/>
  <c r="U71" i="20" s="1"/>
  <c r="C23" i="1"/>
  <c r="G22" i="20"/>
  <c r="H22" i="20" s="1"/>
  <c r="I22" i="20" s="1"/>
  <c r="B76" i="3"/>
  <c r="L78" i="20"/>
  <c r="T78" i="20" s="1"/>
  <c r="U78" i="20" s="1"/>
  <c r="C31" i="1"/>
  <c r="C13" i="1"/>
  <c r="G12" i="20"/>
  <c r="H12" i="20" s="1"/>
  <c r="I12" i="20" s="1"/>
  <c r="F27" i="1"/>
  <c r="G27" i="1" s="1"/>
  <c r="H27" i="1" s="1"/>
  <c r="I27" i="1" s="1"/>
  <c r="Q27" i="1" s="1"/>
  <c r="G26" i="20"/>
  <c r="H26" i="20" s="1"/>
  <c r="I26" i="20" s="1"/>
  <c r="B48" i="3"/>
  <c r="T50" i="20"/>
  <c r="U50" i="20" s="1"/>
  <c r="C16" i="1"/>
  <c r="G15" i="20"/>
  <c r="H15" i="20" s="1"/>
  <c r="I15" i="20" s="1"/>
  <c r="B35" i="3" l="1"/>
  <c r="B43" i="3"/>
  <c r="B29" i="3"/>
  <c r="L36" i="20"/>
  <c r="T36" i="20" s="1"/>
  <c r="U36" i="20" s="1"/>
  <c r="B34" i="3"/>
  <c r="J34" i="13"/>
  <c r="K34" i="13" s="1"/>
  <c r="M34" i="13" s="1"/>
  <c r="N34" i="13" s="1"/>
  <c r="L44" i="20"/>
  <c r="T44" i="20" s="1"/>
  <c r="U44" i="20" s="1"/>
  <c r="B42" i="3"/>
  <c r="L48" i="20"/>
  <c r="T48" i="20" s="1"/>
  <c r="U48" i="20" s="1"/>
  <c r="B46" i="3"/>
  <c r="L42" i="20"/>
  <c r="T42" i="20" s="1"/>
  <c r="U42" i="20" s="1"/>
  <c r="B40" i="3"/>
  <c r="L34" i="20"/>
  <c r="T34" i="20" s="1"/>
  <c r="U34" i="20" s="1"/>
  <c r="B32" i="3"/>
  <c r="L41" i="20"/>
  <c r="T41" i="20" s="1"/>
  <c r="U41" i="20" s="1"/>
  <c r="B39" i="3"/>
  <c r="L38" i="20"/>
  <c r="T38" i="20" s="1"/>
  <c r="U38" i="20" s="1"/>
  <c r="B36" i="3"/>
  <c r="L33" i="20"/>
  <c r="T33" i="20" s="1"/>
  <c r="U33" i="20" s="1"/>
  <c r="B31" i="3"/>
  <c r="L39" i="20"/>
  <c r="T39" i="20" s="1"/>
  <c r="U39" i="20" s="1"/>
  <c r="B37" i="3"/>
  <c r="L40" i="20"/>
  <c r="T40" i="20" s="1"/>
  <c r="U40" i="20" s="1"/>
  <c r="B38" i="3"/>
  <c r="T35" i="20"/>
  <c r="U35" i="20" s="1"/>
  <c r="J33" i="13"/>
  <c r="K33" i="13" s="1"/>
  <c r="M33" i="13" s="1"/>
  <c r="N33" i="13" s="1"/>
  <c r="T32" i="20"/>
  <c r="U32" i="20" s="1"/>
  <c r="L12" i="20"/>
  <c r="T12" i="20" s="1"/>
  <c r="U12" i="20" s="1"/>
  <c r="B10" i="3"/>
  <c r="M32" i="13"/>
  <c r="N32" i="13" s="1"/>
  <c r="L17" i="20"/>
  <c r="T17" i="20" s="1"/>
  <c r="U17" i="20" s="1"/>
  <c r="B15" i="3"/>
  <c r="G13" i="1"/>
  <c r="H13" i="1" s="1"/>
  <c r="I13" i="1" s="1"/>
  <c r="Q13" i="1" s="1"/>
  <c r="G12" i="1"/>
  <c r="H12" i="1" s="1"/>
  <c r="I12" i="1" s="1"/>
  <c r="Q12" i="1" s="1"/>
  <c r="B25" i="3"/>
  <c r="L27" i="20"/>
  <c r="T27" i="20" s="1"/>
  <c r="U27" i="20" s="1"/>
  <c r="G20" i="1"/>
  <c r="H20" i="1" s="1"/>
  <c r="I20" i="1" s="1"/>
  <c r="Q20" i="1" s="1"/>
  <c r="G18" i="1"/>
  <c r="H18" i="1" s="1"/>
  <c r="I18" i="1" s="1"/>
  <c r="Q18" i="1" s="1"/>
  <c r="G26" i="1"/>
  <c r="H26" i="1" s="1"/>
  <c r="I26" i="1" s="1"/>
  <c r="Q26" i="1" s="1"/>
  <c r="B27" i="3"/>
  <c r="T29" i="20"/>
  <c r="U29" i="20" s="1"/>
  <c r="L11" i="20"/>
  <c r="T11" i="20" s="1"/>
  <c r="U11" i="20" s="1"/>
  <c r="B9" i="3"/>
  <c r="L26" i="20"/>
  <c r="T26" i="20" s="1"/>
  <c r="U26" i="20" s="1"/>
  <c r="B24" i="3"/>
  <c r="B20" i="3"/>
  <c r="L22" i="20"/>
  <c r="T22" i="20" s="1"/>
  <c r="U22" i="20" s="1"/>
  <c r="B22" i="3"/>
  <c r="L24" i="20"/>
  <c r="T24" i="20" s="1"/>
  <c r="U24" i="20" s="1"/>
  <c r="L21" i="20"/>
  <c r="T21" i="20" s="1"/>
  <c r="U21" i="20" s="1"/>
  <c r="B19" i="3"/>
  <c r="G28" i="1"/>
  <c r="H28" i="1" s="1"/>
  <c r="I28" i="1" s="1"/>
  <c r="Q28" i="1" s="1"/>
  <c r="B18" i="3"/>
  <c r="L20" i="20"/>
  <c r="T20" i="20" s="1"/>
  <c r="U20" i="20" s="1"/>
  <c r="B11" i="3"/>
  <c r="L13" i="20"/>
  <c r="T13" i="20" s="1"/>
  <c r="U13" i="20" s="1"/>
  <c r="B14" i="3"/>
  <c r="L16" i="20"/>
  <c r="T16" i="20" s="1"/>
  <c r="U16" i="20" s="1"/>
  <c r="L28" i="20"/>
  <c r="T28" i="20" s="1"/>
  <c r="U28" i="20" s="1"/>
  <c r="B26" i="3"/>
  <c r="G30" i="1"/>
  <c r="H30" i="1" s="1"/>
  <c r="I30" i="1" s="1"/>
  <c r="Q30" i="1" s="1"/>
  <c r="L18" i="20"/>
  <c r="T18" i="20" s="1"/>
  <c r="U18" i="20" s="1"/>
  <c r="B16" i="3"/>
  <c r="B12" i="3"/>
  <c r="L14" i="20"/>
  <c r="T14" i="20" s="1"/>
  <c r="U14" i="20" s="1"/>
  <c r="L19" i="20"/>
  <c r="T19" i="20" s="1"/>
  <c r="U19" i="20" s="1"/>
  <c r="B17" i="3"/>
  <c r="L25" i="20"/>
  <c r="T25" i="20" s="1"/>
  <c r="U25" i="20" s="1"/>
  <c r="B23" i="3"/>
  <c r="B13" i="3"/>
  <c r="L15" i="20"/>
  <c r="T15" i="20" s="1"/>
  <c r="U15" i="20" s="1"/>
  <c r="B28" i="3"/>
  <c r="T30" i="20"/>
  <c r="U30" i="20" s="1"/>
  <c r="G16" i="1"/>
  <c r="H16" i="1" s="1"/>
  <c r="I16" i="1" s="1"/>
  <c r="Q16" i="1" s="1"/>
  <c r="G31" i="1"/>
  <c r="H31" i="1" s="1"/>
  <c r="I31" i="1" s="1"/>
  <c r="Q31" i="1" s="1"/>
  <c r="G23" i="1"/>
  <c r="H23" i="1" s="1"/>
  <c r="I23" i="1" s="1"/>
  <c r="Q23" i="1" s="1"/>
  <c r="G25" i="1"/>
  <c r="H25" i="1" s="1"/>
  <c r="I25" i="1" s="1"/>
  <c r="Q25" i="1" s="1"/>
  <c r="G22" i="1"/>
  <c r="H22" i="1" s="1"/>
  <c r="I22" i="1" s="1"/>
  <c r="Q22" i="1" s="1"/>
  <c r="G21" i="1"/>
  <c r="H21" i="1" s="1"/>
  <c r="I21" i="1" s="1"/>
  <c r="Q21" i="1" s="1"/>
  <c r="G17" i="1"/>
  <c r="H17" i="1" s="1"/>
  <c r="I17" i="1" s="1"/>
  <c r="Q17" i="1" s="1"/>
  <c r="G29" i="1"/>
  <c r="H29" i="1" s="1"/>
  <c r="I29" i="1" s="1"/>
  <c r="Q29" i="1" s="1"/>
  <c r="G15" i="1"/>
  <c r="H15" i="1" s="1"/>
  <c r="I15" i="1" s="1"/>
  <c r="Q15" i="1" s="1"/>
  <c r="R17" i="1" l="1"/>
  <c r="R23" i="1"/>
  <c r="R21" i="1"/>
  <c r="R18" i="1"/>
  <c r="R12" i="1"/>
  <c r="R45" i="1"/>
  <c r="R54" i="1"/>
  <c r="R52" i="1"/>
  <c r="R55" i="1"/>
  <c r="R51" i="1"/>
  <c r="R53" i="1"/>
  <c r="R50" i="1"/>
  <c r="R24" i="1"/>
  <c r="R40" i="1"/>
  <c r="R41" i="1"/>
  <c r="R35" i="1"/>
  <c r="R49" i="1"/>
  <c r="R34" i="1"/>
  <c r="R38" i="1"/>
  <c r="R28" i="1"/>
  <c r="R37" i="1"/>
  <c r="R19" i="1"/>
  <c r="R36" i="1"/>
  <c r="R33" i="1"/>
  <c r="R42" i="1"/>
  <c r="R31" i="1"/>
  <c r="R26" i="1"/>
  <c r="R44" i="1"/>
  <c r="R27" i="1"/>
  <c r="R32" i="1"/>
  <c r="R43" i="1"/>
  <c r="R46" i="1"/>
  <c r="R15" i="1"/>
  <c r="R22" i="1"/>
  <c r="R16" i="1"/>
  <c r="R29" i="1"/>
  <c r="R25" i="1"/>
  <c r="R30" i="1"/>
  <c r="R20" i="1"/>
  <c r="R13" i="1"/>
  <c r="R14" i="1"/>
  <c r="R47" i="1"/>
  <c r="R39" i="1"/>
  <c r="R48" i="1"/>
  <c r="N43" i="13"/>
  <c r="B50" i="13" s="1"/>
  <c r="B58" i="13" s="1"/>
  <c r="B60" i="13" s="1"/>
  <c r="K43" i="13"/>
  <c r="B49" i="13" s="1"/>
  <c r="B59" i="13" l="1"/>
  <c r="C59" i="13" s="1"/>
</calcChain>
</file>

<file path=xl/comments1.xml><?xml version="1.0" encoding="utf-8"?>
<comments xmlns="http://schemas.openxmlformats.org/spreadsheetml/2006/main">
  <authors>
    <author/>
  </authors>
  <commentList>
    <comment ref="C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authors>
    <author>Diana Karina Ruiz Perilla</author>
  </authors>
  <commentList>
    <comment ref="N11" authorId="0" shapeId="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authors>
    <author>Myriam Cubillos Benavides</author>
  </authors>
  <commentList>
    <comment ref="C10" authorId="0" shapeId="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shapeId="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<sst xmlns="http://schemas.openxmlformats.org/spreadsheetml/2006/main" count="1384" uniqueCount="731">
  <si>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</si>
  <si>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</si>
  <si>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</si>
  <si>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</si>
  <si>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</si>
  <si>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</si>
  <si>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</si>
  <si>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</si>
  <si>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</si>
  <si>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</si>
  <si>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</si>
  <si>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</si>
  <si>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</si>
  <si>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</si>
  <si>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</si>
  <si>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</si>
  <si>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Logo Entidad</t>
  </si>
  <si>
    <t>UNIVERSO DE AUDITORIA
PRIORIZACIÓN</t>
  </si>
  <si>
    <t>LOGO ENTIDAD</t>
  </si>
  <si>
    <t>Unidad Auditable</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</si>
  <si>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</si>
  <si>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</si>
  <si>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</si>
  <si>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</si>
  <si>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</si>
  <si>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OBJETIVO</t>
  </si>
  <si>
    <t>ROL</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</si>
  <si>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</si>
  <si>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</si>
  <si>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</si>
  <si>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</si>
  <si>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</si>
  <si>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</si>
  <si>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</si>
  <si>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</si>
  <si>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</si>
  <si>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</si>
  <si>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</si>
  <si>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</si>
  <si>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</si>
  <si>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</si>
  <si>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</si>
  <si>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</si>
  <si>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</si>
  <si>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</si>
  <si>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</si>
  <si>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</si>
  <si>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</si>
  <si>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</si>
  <si>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</si>
  <si>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</si>
  <si>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</si>
  <si>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</si>
  <si>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</si>
  <si>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</si>
  <si>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</si>
  <si>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</si>
  <si>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</si>
  <si>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</si>
  <si>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</si>
  <si>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</si>
  <si>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</si>
  <si>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</si>
  <si>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</si>
  <si>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</si>
  <si>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</si>
  <si>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</si>
  <si>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</si>
  <si>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</si>
  <si>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</si>
  <si>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</si>
  <si>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</si>
  <si>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</si>
  <si>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</si>
  <si>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</si>
  <si>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</si>
  <si>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</si>
  <si>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</si>
  <si>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</si>
  <si>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</si>
  <si>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</si>
  <si>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</si>
  <si>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</si>
  <si>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</si>
  <si>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</si>
  <si>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</si>
  <si>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</si>
  <si>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</si>
  <si>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</si>
  <si>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</si>
  <si>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</si>
  <si>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</si>
  <si>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</si>
  <si>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</si>
  <si>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</si>
  <si>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</si>
  <si>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</si>
  <si>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</si>
  <si>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</si>
  <si>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</si>
  <si>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</si>
  <si>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</si>
  <si>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</si>
  <si>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</si>
  <si>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</si>
  <si>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</si>
  <si>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</si>
  <si>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</si>
  <si>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</si>
  <si>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</si>
  <si>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</si>
  <si>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</si>
  <si>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</si>
  <si>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</si>
  <si>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</si>
  <si>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</si>
  <si>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</si>
  <si>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</si>
  <si>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</si>
  <si>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de Seguimiento</t>
  </si>
  <si>
    <t>Informe de Auditoria</t>
  </si>
  <si>
    <t>Calcule las horas requeridas para desarrollar PPAI</t>
  </si>
  <si>
    <t>1.2</t>
  </si>
  <si>
    <t>1.3</t>
  </si>
  <si>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</si>
  <si>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</si>
  <si>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</si>
  <si>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</si>
  <si>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</si>
  <si>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</si>
  <si>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</si>
  <si>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</si>
  <si>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</si>
  <si>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</si>
  <si>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</si>
  <si>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</si>
  <si>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</si>
  <si>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</si>
  <si>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</si>
  <si>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</si>
  <si>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</si>
  <si>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</si>
  <si>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</si>
  <si>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</si>
  <si>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</si>
  <si>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</si>
  <si>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</si>
  <si>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</si>
  <si>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</si>
  <si>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</si>
  <si>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</si>
  <si>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</si>
  <si>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</si>
  <si>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</si>
  <si>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</si>
  <si>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</si>
  <si>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</si>
  <si>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</si>
  <si>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</si>
  <si>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</si>
  <si>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</si>
  <si>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</si>
  <si>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</si>
  <si>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</si>
  <si>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</si>
  <si>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</si>
  <si>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</si>
  <si>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</si>
  <si>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</si>
  <si>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</si>
  <si>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</si>
  <si>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</si>
  <si>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</si>
  <si>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</si>
  <si>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</si>
  <si>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</si>
  <si>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</si>
  <si>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</si>
  <si>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</si>
  <si>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</si>
  <si>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</si>
  <si>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</si>
  <si>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</si>
  <si>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</si>
  <si>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</si>
  <si>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</si>
  <si>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</si>
  <si>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</si>
  <si>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</si>
  <si>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</si>
  <si>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</si>
  <si>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</si>
  <si>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</si>
  <si>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</si>
  <si>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</si>
  <si>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</si>
  <si>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</si>
  <si>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</si>
  <si>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</si>
  <si>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</si>
  <si>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</si>
  <si>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</si>
  <si>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</si>
  <si>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</si>
  <si>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</si>
  <si>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</si>
  <si>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</si>
  <si>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</si>
  <si>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 xml:space="preserve">MESES </t>
  </si>
  <si>
    <t>Enfoque de prevención</t>
  </si>
  <si>
    <t>Liderazgo Estratégico</t>
  </si>
  <si>
    <t>Relación con Entes de Control</t>
  </si>
  <si>
    <t>Versión del Plan Anual de Auditorías:</t>
  </si>
  <si>
    <t>Conformación  del Equipo de Control Interno:</t>
  </si>
  <si>
    <t>COORDINADOR DE LA AUDITORÍA (SEGUNDA/TERCERA  LINEA DE DEFENSA)</t>
  </si>
  <si>
    <t>TRABAJO DE AUDITORÍA</t>
  </si>
  <si>
    <t>AUDITORÍAS INTERNAS/SEGUIMIENTOS</t>
  </si>
  <si>
    <t>INFORMES REGLAMENTARIOS</t>
  </si>
  <si>
    <t>ATENCIÓN A ENTES DE CONTROL</t>
  </si>
  <si>
    <t xml:space="preserve">TIPO DE TRABAJO DE AUDITORÍA </t>
  </si>
  <si>
    <t>FASE</t>
  </si>
  <si>
    <t>2.CALCULO DIAS -HORAS LABORALES POR AÑO</t>
  </si>
  <si>
    <t>TOTALES</t>
  </si>
  <si>
    <t>Total horas por trabajo de auditoría</t>
  </si>
  <si>
    <t>Horas x trabajo de auditoría</t>
  </si>
  <si>
    <t>MES</t>
  </si>
  <si>
    <t>DIAS PERMISO SINDICAL</t>
  </si>
  <si>
    <t>HORAS DISPONIBLES POR MES</t>
  </si>
  <si>
    <t>DIAS HABILES DISPONIBLES</t>
  </si>
  <si>
    <t>HORAS HÁBILES DISPONIBLES</t>
  </si>
  <si>
    <t>2.CALCULO HORAS DISPONIBLES EQUIPO AUDITOR</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</si>
  <si>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</si>
  <si>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</si>
  <si>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</si>
  <si>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</si>
  <si>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</si>
  <si>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</si>
  <si>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</si>
  <si>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</si>
  <si>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</si>
  <si>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 xml:space="preserve">ANÁLISIS DE RECURSOS PARA EL PLAN ANUAL DE AUDITORÍAS
PLANTILLA  1
</t>
  </si>
  <si>
    <t xml:space="preserve">ANÁLISIS DE RECURSOS PARA EL PLAN ANUAL DE AUDITORÍAS
PLANTILLA 2
</t>
  </si>
  <si>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</si>
  <si>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</si>
  <si>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</si>
  <si>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</si>
  <si>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</si>
  <si>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</si>
  <si>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</si>
  <si>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</si>
  <si>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</si>
  <si>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</si>
  <si>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</si>
  <si>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</si>
  <si>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</si>
  <si>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</si>
  <si>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</si>
  <si>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</si>
  <si>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</si>
  <si>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</si>
  <si>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</si>
  <si>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</si>
  <si>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</si>
  <si>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</si>
  <si>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</si>
  <si>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</si>
  <si>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</si>
  <si>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</si>
  <si>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</si>
  <si>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</si>
  <si>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</si>
  <si>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</si>
  <si>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</si>
  <si>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</si>
  <si>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</si>
  <si>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</si>
  <si>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</si>
  <si>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</si>
  <si>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</si>
  <si>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</si>
  <si>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</si>
  <si>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</si>
  <si>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</si>
  <si>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</si>
  <si>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</si>
  <si>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</si>
  <si>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</si>
  <si>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</si>
  <si>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</si>
  <si>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</si>
  <si>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</si>
  <si>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</si>
  <si>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</si>
  <si>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</si>
  <si>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</si>
  <si>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</si>
  <si>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</si>
  <si>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</si>
  <si>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</si>
  <si>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</si>
  <si>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</si>
  <si>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</si>
  <si>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</si>
  <si>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</si>
  <si>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</si>
  <si>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</si>
  <si>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</si>
  <si>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</si>
  <si>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</si>
  <si>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</si>
  <si>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</si>
  <si>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</si>
  <si>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</si>
  <si>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</si>
  <si>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</si>
  <si>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</si>
  <si>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</si>
  <si>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</si>
  <si>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</si>
  <si>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</si>
  <si>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</si>
  <si>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</si>
  <si>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</si>
  <si>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</si>
  <si>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</si>
  <si>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</si>
  <si>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</si>
  <si>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</si>
  <si>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</si>
  <si>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</si>
  <si>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</si>
  <si>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</si>
  <si>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</si>
  <si>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</si>
  <si>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</si>
  <si>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</si>
  <si>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</si>
  <si>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</si>
  <si>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</si>
  <si>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</si>
  <si>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</si>
  <si>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</si>
  <si>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</si>
  <si>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</si>
  <si>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</si>
  <si>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</si>
  <si>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</si>
  <si>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t>N/A</t>
  </si>
  <si>
    <t>Si</t>
  </si>
  <si>
    <t>Sí</t>
  </si>
  <si>
    <t>JANETH VILLALBA MAHECHA</t>
  </si>
  <si>
    <t xml:space="preserve">Realizar un examen sistemático, objetivo e independiente de los procesos, actividades, operaciones y resultados de las áreas de la empresa; que permita emitir juicios basados en evidencias sobre los aspectos más importantes de la gestión, formular recomendaciones de ajuste y mejoramiento, a fin de que se obtengan los resultados esperados. </t>
  </si>
  <si>
    <t>Seguimiento Comité de Sostenibilidad Contable</t>
  </si>
  <si>
    <t>Campaña de fomento de Autocontrol</t>
  </si>
  <si>
    <t>Trasmisión Cuenta Mensual Contraloría</t>
  </si>
  <si>
    <t>Ley 1474 de 2011</t>
  </si>
  <si>
    <t>Presentación y Aprobación programa de Auditorías</t>
  </si>
  <si>
    <t>Coordinar y Ejecutar Sesiones del  Comité Institucional de Coordinación de Control Interno</t>
  </si>
  <si>
    <t>Asistencia y Participación en los Comités Institucionales</t>
  </si>
  <si>
    <t>X</t>
  </si>
  <si>
    <t>Seguimientos a publicaciones de la Contratación en la Plataforma SECOP</t>
  </si>
  <si>
    <t>Seguimiento Comité de Defensa Judicial, Conciliación y Repetición y SIPROJ</t>
  </si>
  <si>
    <t xml:space="preserve">Seguimiento a Verificación, Recomendaciones y Resultados sobre Cumplimiento de normas en materia de Derechos de Autor sobre Software </t>
  </si>
  <si>
    <t>Seguimiento a la Austeridad en el Gasto</t>
  </si>
  <si>
    <t>Evaluación de los Riesgos  de Corrupción</t>
  </si>
  <si>
    <t>Evaluación de los Riesgos  de Gestión</t>
  </si>
  <si>
    <t>Seguimiento Plan de Mejoramiento Contraloría</t>
  </si>
  <si>
    <t>Prestar los servicios de asesoría y acompañamiento requeridos</t>
  </si>
  <si>
    <t>Seguimiento Estado de Cumplimiento Metas Plan de Desarrollo e Indicadores</t>
  </si>
  <si>
    <t>Reparto, seguimiento, revisión y registro de respuestas a Entes Externos de Control</t>
  </si>
  <si>
    <t>Fortalecer los mecanismos de
prevención, investigación y sanción de actos de corrupción y la efectividad
del control de la gestión pública.</t>
  </si>
  <si>
    <t>Decreto Distrital No. 061 del 14 de febrero de 2007</t>
  </si>
  <si>
    <t>Por el cual se reglamenta el funcionamiento de las Cajas Menores y los Avances en Efectivo</t>
  </si>
  <si>
    <t>Decreto 648 de 2017</t>
  </si>
  <si>
    <t>Decreto 648 de 2017 Capitulo 3 Artículo  2.2.21.4.9</t>
  </si>
  <si>
    <t xml:space="preserve">Fortalecer el control interno en los organismos y entidades del Estado. </t>
  </si>
  <si>
    <t>Propiciar el desarrollo pleno del potencial de los habitantes de la ciudad, para alcanzar la felicidad de todos en su condición de individuos, miembros de familia y de la sociedad.</t>
  </si>
  <si>
    <t>Fortalecer el Sistema de Control Interno</t>
  </si>
  <si>
    <t>Lineamientos generales sobre austeridad y transparencia del gasto público en las entidades y organismos del orden distrital.</t>
  </si>
  <si>
    <t>Resolución Nº 357 de 2008</t>
  </si>
  <si>
    <t>Lograr una información contable con las características de confiabilidad, relevancia y comprensibilidad,</t>
  </si>
  <si>
    <t>Ley 87 de 1993</t>
  </si>
  <si>
    <t>Prescribir los métodos, la forma y términos de rendir la cuenta por parte de los responsables del manejo de fondos, bienes o recursos públicos del Distrito Capital y unificar la información que se presenta a la Contraloría de Bogotá, D.C.</t>
  </si>
  <si>
    <t>Trabajador Oficial</t>
  </si>
  <si>
    <t>Decreto 648 de 2017, artículo 4
Decreto Nacional No. 1083 de 2015 artículos 2.2.21.1.5 y 2.2.21.1.6</t>
  </si>
  <si>
    <t xml:space="preserve"> </t>
  </si>
  <si>
    <t>Asesoría, acompañamiento  y Trasmisión Cuenta Anual Contraloría</t>
  </si>
  <si>
    <t>Cumplimiento Normas ISO</t>
  </si>
  <si>
    <t>Seguimiento Cajas Menores (SE EFECTUAN SIN PREVIO AVISO)</t>
  </si>
  <si>
    <t>Dirigir la gestión pública al mejor desempeño institucional</t>
  </si>
  <si>
    <t>Evidencia</t>
  </si>
  <si>
    <t>Observación</t>
  </si>
  <si>
    <t>Activos de Información y Funcionamiento Software que maneja la Empresa</t>
  </si>
  <si>
    <t>Evaluación de Riesgos</t>
  </si>
  <si>
    <t xml:space="preserve"> ley 1474 de 2011</t>
  </si>
  <si>
    <t>Revisar y actualizar los instrumentos básicos de la actividad de auditoria interna</t>
  </si>
  <si>
    <t>Resolución Orgánica 5544 de 2003
Resolución 5580 de 2004
Resolución 003 de 2005</t>
  </si>
  <si>
    <t>Permite el mejoramiento continuo y cumplimiento de los objetivos institucionales de la entidad pública</t>
  </si>
  <si>
    <t>Fortalecer el control interno en los organismos y entidades del Estado</t>
  </si>
  <si>
    <t>Directiva 017 de 2018</t>
  </si>
  <si>
    <t>Revisión y actualización del Proceso Evaluación y Seguimiento: Revisión procedimientos, instructivos, formatos, indicadores y riesgos del proceso, asignación y seguimiento  de tareas y actividades programadas, determinación de directrices e instrucciones al grupo de trabajo</t>
  </si>
  <si>
    <t>Contratista Profesional</t>
  </si>
  <si>
    <t>Observaciones</t>
  </si>
  <si>
    <t>Constitución Política de 1991, artículos 119 y 267
Ley 42 de 1993
Decreto Nacional No. 403 de 2020</t>
  </si>
  <si>
    <t>Según plan de auditoria de organismo de control</t>
  </si>
  <si>
    <t>Subgerencia de Planeación y administración de proyectos</t>
  </si>
  <si>
    <t>2020 - 2023</t>
  </si>
  <si>
    <t>Informe de evaluación del Sistema de Control Interno Contable</t>
  </si>
  <si>
    <t>Resolución de la Contaduría General de la Nación No. 193 de 2016</t>
  </si>
  <si>
    <t>Informe Semestral de Evaluación Independiente del Sistema de Control Interno</t>
  </si>
  <si>
    <t>Decreto 648 de 2017 - Artículo 2.2.21.4.8 y Resolución ERU No. 054 de 2018.</t>
  </si>
  <si>
    <t>Convenciones</t>
  </si>
  <si>
    <t>Seguimiento Plan de Mejoramiento por Procesos</t>
  </si>
  <si>
    <t>Resolución 5580 de 2004
Resolución Orgánica 5544 de 2003
Resolución 003 de 2005</t>
  </si>
  <si>
    <t>Inscripción del soporte lógico (software) en el Registro Nacional del derecho de Autor</t>
  </si>
  <si>
    <t>Decreto Ley 2106 de 2019, Artículo 156
Circular Externa No. 100-006 de 2019 del DAFP.</t>
  </si>
  <si>
    <t>Ley 1150 de 2007
Ley 87 de 1993
Decreto Único Reglamentario No. 1082 de 2015</t>
  </si>
  <si>
    <t>Ley 1474 de 2011 Art 76 - 
Decreto Distrital No. 371 de 2010</t>
  </si>
  <si>
    <t>Decreto Distrital No. 807 de 2019</t>
  </si>
  <si>
    <t xml:space="preserve">Decreto Único Reglamentario No. 1082 de 2015 </t>
  </si>
  <si>
    <t>Ley 87 de 1993
Ley 489 de 1998</t>
  </si>
  <si>
    <t xml:space="preserve">Decreto Nacional No. 492 de 2019 </t>
  </si>
  <si>
    <t>Decreto 1499 de 2017</t>
  </si>
  <si>
    <t>Decreto 648 de 2017 artículo 4, artículo 16 , artículo 17
Decreto Distrital No. 807 de 2019 numeral 4 artículo 38, parágrafo 1
numeral 5 artículo 37
numeral 6 artículo 20</t>
  </si>
  <si>
    <t>Acuerdo del Concejo de Bogotá No. 761 de 2020 "Un nuevo contrato social y ambiental para la Bogotá del Siglo XXI"
Decreto Distrital No. 807 de 2019</t>
  </si>
  <si>
    <t>Resolución 080 de 2018 - "Por la cual se adopta el Código de Integridad del Servicio Público en la Empresa de Renovación y Desarrollo Urbano de Bogotá D.C. y se dictan otras disposiciones"</t>
  </si>
  <si>
    <t>Seguimiento Reporte - Ley e índice de Transparencia y Acceso a la Información - ITA.</t>
  </si>
  <si>
    <t>Seguimiento a la actualización de bases de datos en RNBD</t>
  </si>
  <si>
    <t>Actualización de la información contenida en el Registro Nacional de Bases de Datos</t>
  </si>
  <si>
    <t>Presentar el estado del Sistema de Control Interno de la Empresa de Renovación y Desarrollo Urbano de Bogotá, en cumplimiento de lo dispuesto en la Ley 1774 de 2011 y los
lineamientos impartidos por el Departamento Administrativo de la Función Pública en el Manual Operativo del Modelo Integrado de Planeación y Gestión – MIPG</t>
  </si>
  <si>
    <t>Evaluación y Seguimiento Implementación MIPG  7 dimensiones y 18 políticas - e informes FURAG.</t>
  </si>
  <si>
    <t>Actividad En proceso</t>
  </si>
  <si>
    <t>N°</t>
  </si>
  <si>
    <t>Ejecutado</t>
  </si>
  <si>
    <t>Contratista tecnico</t>
  </si>
  <si>
    <r>
      <t xml:space="preserve">CONOCIMIENTO DE LA ENTIDAD
</t>
    </r>
    <r>
      <rPr>
        <sz val="11"/>
        <color rgb="FF0000FF"/>
        <rFont val="Century Gothic"/>
        <family val="2"/>
      </rPr>
      <t>EMPRESA DE RENOVACION Y DESARROLLO URBANO DE BOGOTA D.C.</t>
    </r>
    <r>
      <rPr>
        <b/>
        <sz val="11"/>
        <color theme="1"/>
        <rFont val="Century Gothic"/>
        <family val="2"/>
      </rPr>
      <t xml:space="preserve">
</t>
    </r>
  </si>
  <si>
    <t>Seguimiento líneas de Defensa</t>
  </si>
  <si>
    <t>Normas concordantes con el objeto y alcance la Auditoría</t>
  </si>
  <si>
    <t>Seguimiento a Peticiones, Quejas, Reclamos, Sugerencias y Felicitaciones - Derechos de Petición</t>
  </si>
  <si>
    <t>Seguimiento a Directrices para Prevenir Conductas Irregulares sobre Incumplimiento de Manuales de Funciones y de Procedimientos y Pérdida de Elementos y Documentos Público. Directiva 008 de 2021</t>
  </si>
  <si>
    <t>Directiva Distrital No. 008 de 2021</t>
  </si>
  <si>
    <t>Asesoria y seguimiento a la Implementación del Sistema de Gestión de Calidad bajo concepto del estándar NTC ISO 9001:2015</t>
  </si>
  <si>
    <t>NTC ISO 9001:2015</t>
  </si>
  <si>
    <t>Prestar la asesoría, asistencia técnica y seguimiento al estado de implementación del Sistema de Gestión de la Calidad bajo el concepto del estándar NTC ISO 9001:2015 en todo el cilo PHVA.</t>
  </si>
  <si>
    <t>Verificacion de la Conformidad del  Sistema de Gestión de la Calidad bajo el concepto del estándar NTC ISO 9001:2015 de la Empresa (Ciclo  Auditorias Internas de Calidad 2022).</t>
  </si>
  <si>
    <t>Evaluar  la conformidad de los procesos a auditar del Sistema de Gestión de la Calidad de la Empresa con los requisitos del estándar NTC ISO 9001:2015</t>
  </si>
  <si>
    <t>Modelo Integrado de Planeación y Gestión, actualizado: MIPG – Decreto 1499</t>
  </si>
  <si>
    <t>Evaluar la  efectiva gestión de riesgos: Las funciones que son propietarias de los riesgos y los gestionan. Las funciones que supervisan los riesgos. Las funciones que proporcionan aseguramiento independiente.</t>
  </si>
  <si>
    <t>Programa Aseguramiento Calidad de la Auditoria</t>
  </si>
  <si>
    <t>Determinar cumplimiento de la Norma NIA 1300.</t>
  </si>
  <si>
    <t>Actividad fuera de términos o no comunicada</t>
  </si>
  <si>
    <t>http://10.115.245.74/node/4683</t>
  </si>
  <si>
    <t>http://10.115.245.74/marco-estrategico</t>
  </si>
  <si>
    <t>http://10.115.245.74/node/3488</t>
  </si>
  <si>
    <t>https://www.renobo.com.co/transparencia/planeacion-presupuesto-e-informes</t>
  </si>
  <si>
    <t>http://10.115.245.74/organigrama</t>
  </si>
  <si>
    <t>https://www.renobo.com.co/index.php/es/search/content?keys=politicas+institucionales</t>
  </si>
  <si>
    <t>http://10.115.245.74/search/content?keys=proyectos+de+inversion</t>
  </si>
  <si>
    <t>http://10.115.245.74/mipg-sig/mapa-procesos</t>
  </si>
  <si>
    <t>http://10.115.245.74/search/content?keys=gesti%C3%B3n+documental</t>
  </si>
  <si>
    <t>http://10.115.245.74/node/1625</t>
  </si>
  <si>
    <t>http://10.115.245.74/node/1607</t>
  </si>
  <si>
    <t>Calle 100, Fontibon</t>
  </si>
  <si>
    <t>https://www.renobo.com.co/es/search/content?keys=plan+anual+de+adquisiciones</t>
  </si>
  <si>
    <t>https://www.renobo.com.co/es/search/content?keys=activos+de+informaci%C3%B3n</t>
  </si>
  <si>
    <t>https://www.renobo.com.co/
http://10.115.245.74/</t>
  </si>
  <si>
    <t>http://10.115.245.74/search/content?keys=indicadores+de+gesti%C3%B3n</t>
  </si>
  <si>
    <t>http://10.115.245.74/search/content?keys=planes+de+accion</t>
  </si>
  <si>
    <t>http://10.115.245.74/node/2395</t>
  </si>
  <si>
    <t>https://renobo.com.co/es/node/3703</t>
  </si>
  <si>
    <t>https://renobo.com.co/es/search/content?keys=mapa+riesgos+de+gesti%C3%B3n</t>
  </si>
  <si>
    <t>https://www.renobo.com.co/es/node/3444</t>
  </si>
  <si>
    <t>https://www.renobo.com.co/es/node/3536</t>
  </si>
  <si>
    <t>https://www.renobo.com.co/es/node/3537</t>
  </si>
  <si>
    <t>http://10.115.245.74/node/4089</t>
  </si>
  <si>
    <t>http://10.115.245.74/node/2309</t>
  </si>
  <si>
    <t>Alcaldía los Mártires - Avance Obra - Cumplimiento cronogramas y ejecución presupuestal</t>
  </si>
  <si>
    <t>Bronx Distrito Creativo  - Avance Obra - Cumplimiento cronogramas y ejecución presupuestal</t>
  </si>
  <si>
    <t>Centro de Formación para el trabajo (SENA)  - Avance Obra - Cumplimiento cronogramas y ejecución presupuestal</t>
  </si>
  <si>
    <t>Direccionamiento Estratégico y Gobierno Corporativo</t>
  </si>
  <si>
    <t>Seguimiento Cumplimiento Norma Archivística ERU</t>
  </si>
  <si>
    <t xml:space="preserve">Auditoria Gestión Suelo </t>
  </si>
  <si>
    <t xml:space="preserve">Sistema de Información Misional </t>
  </si>
  <si>
    <t>Contratación transversal (Incluye San Victorino y Optimización Nuevo Manual de Contratación)</t>
  </si>
  <si>
    <t>Seguimiento Ejecución y avance de proyectos</t>
  </si>
  <si>
    <t>Varias horas</t>
  </si>
  <si>
    <t>Hechos de Corrupción</t>
  </si>
  <si>
    <t>Falta de oportunidad para gestión de los procesos</t>
  </si>
  <si>
    <t>Incumplimiento de servicios</t>
  </si>
  <si>
    <t>Falta de oportunidad para atención usuarios</t>
  </si>
  <si>
    <t>Retrasos en los servicios</t>
  </si>
  <si>
    <t>VIGENCIA 2024</t>
  </si>
  <si>
    <t>El Plan Anual de Auditoria contempla los trabajos de auditoria interna, evaluaciones y seguimientos a realizar durante la vigencia 2024, a través de las cuales se evaluará la gestión institucional, el cumplimiento de objetivos,  la administración del riesgo, los planes de mejoramiento, la aplicación de procedimientos y normas legales vigentes, entre otros criterios.</t>
  </si>
  <si>
    <t>CRONOGRAMA VIGENCIA AÑO 2024</t>
  </si>
  <si>
    <t>Auditoria Contratos arrendamiento - Predios San Victorino</t>
  </si>
  <si>
    <t>Voto Nacional (Incluye Edificio Formación para el Trabajo)</t>
  </si>
  <si>
    <t>Auditoria Proceso Terceros Concurrentes</t>
  </si>
  <si>
    <t>Sistemas de Información Misionales de la Empresa (Contratación)</t>
  </si>
  <si>
    <t>Servicios Administrativos y de apoyo - PIGA - Talento Humano -  Servicios Logísticos</t>
  </si>
  <si>
    <t>Costeo de los proyectos y rentabilidad de la Empresa</t>
  </si>
  <si>
    <t>Seguimiento Resolución 1519 de 2021  y acceso a la Información</t>
  </si>
  <si>
    <t>Seguimiento Auditoria de Fiducias (Plan de Mejoramiento y Contratación por vencimiento de términos Fiducias actuales)</t>
  </si>
  <si>
    <t>Seguimiento Comités Institucionales (Actividad pendiente de finalizar de la Vigencia 2021)</t>
  </si>
  <si>
    <t>Seguimiento Plan de Mejoramiento Archivística</t>
  </si>
  <si>
    <t>Evaluación del Estatuto de Auditoria, Código de Ética del Auditor y Plan de Mejoramiento de las Auditorias Cruzadas</t>
  </si>
  <si>
    <t>Factores de Gestión Prioritarias para la Empresa (análisis OCI) y Fortalecimiento Institucional</t>
  </si>
  <si>
    <t>Auditoria de Fiducias. Alcance por muestra confiable.</t>
  </si>
  <si>
    <t>Auditoria Plan estratégico y gestión Tecnología y Comunicaciones</t>
  </si>
  <si>
    <t>Proyecto: Formulación, Gestión y Estructuración de Proyectos de Desarrollo, Revitalización o Renovación Urbana. Incluido aspecto contractual</t>
  </si>
  <si>
    <t>Auditoria Gestión Social asociada a la Adquisición Predial y grupos de interés</t>
  </si>
  <si>
    <t>Auditoria Proceso Evaluación y seguimiento - Normas Internacionales de Auditoria - Oficina PAD
Auditorias cruzadas OCI - Alcaldia.</t>
  </si>
  <si>
    <t>2 días</t>
  </si>
  <si>
    <t>Quejas por incumplimientos o retrasos</t>
  </si>
  <si>
    <t>Critica con recuperación parcial</t>
  </si>
  <si>
    <t>PLAN ANUAL DE AUDITORIA : Empresa de Renovación y Desarrollo Urbano de Bogotá D.C.
Vigencia:2024</t>
  </si>
  <si>
    <t>Revisión de Polizas de Seguro Corporativa</t>
  </si>
  <si>
    <t>Fortalecer los mecanismos de prevención, investigación y sanción de actos de corrupción y la efectividad del control de la gestión pública.</t>
  </si>
  <si>
    <t>Permite a las entidades estatales cumplir con las obligaciones de publicidad de los diferentes actos expedidos en los procesos contractuales y permite a los interesados en participar en los procesos de contratación, proponentes, veedurías y a la ciudadanía.</t>
  </si>
  <si>
    <t>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marco conceptual de! marco normativo que le sea aplicable a la entidad, de acuerdo con lo establecido en el Régimen de Contabilidad Pública.</t>
  </si>
  <si>
    <t>Orientar, liderar la formulación y seguimiento de las políticas para el fortalecimiento de la función administrativa de los organismos y entidades de Bogotá, Distrito Capital, mediante el diseño e implementación de instrumentos de coordinación y gestión, la promoción del desarrollo institucional, el mejoramiento del servicio a la ciudadana y ciudadano, la protección de recursos documentales de interés público y la coordinación de las políticas del sistema integral de información y desarrollo tecnológico.</t>
  </si>
  <si>
    <t>Establecen directrices y lineamientos en materia de conciliación y Comités de Conciliación en el Distrito Capital.</t>
  </si>
  <si>
    <t>Directrices para prevenir conductas irregulares relacionadas con incumplimiento de los manuales de funciones y de procedimientos y la pérdida de elementos y documentos públicos.</t>
  </si>
  <si>
    <t>Seguimiento Cuadro resumen auditorías externas e internas  realizadas</t>
  </si>
  <si>
    <t>Orientar la implementación del SIGD y la operación del MIPG, en su respectiva entidad u organismo.</t>
  </si>
  <si>
    <t>Adopta la metodología e instrumentos para la evaluación de la Gestión del Rendimiento de los Gerentes Públicos.</t>
  </si>
  <si>
    <t>Ley 23 de 1982
Decreto 1360 de 1989
Directiva Presidencial 02 de  2002
Circular 1000-06 de 22 de junio de 2004
Circular 07 de diciembre 28 de 2005
Circular 04 de 22 de diciembre de 2006</t>
  </si>
  <si>
    <t xml:space="preserve">Informe Integral de Gestión OCI </t>
  </si>
  <si>
    <t>Verificar el cumplimiento del Plan de Acción establecido para la implementación del Código de Integridad de la Empresa, durante la vigencia 2021.</t>
  </si>
  <si>
    <t>Ley 1712 de 2014 - Res 1519 de 2020
Directiva 006 de 14 de mayo de 2019
Directiva 026 de 25 de agosto de 2020
Directiva 029 de 13 de octubre de 2020</t>
  </si>
  <si>
    <t>Medir el nivel de cumplimiento de la Ley por parte de cada sujeto obligado y generar el indicador denominado índice de Transparencia y Acceso a la Información Pública ITA.</t>
  </si>
  <si>
    <t>Fomentar en toda la institución la formación de una cultura de propio control o autocontrol que contribuya al mejoramiento continúo en el cumplimiento de la misión institucional</t>
  </si>
  <si>
    <t>NIA - Autodiagnóstico aseguramiento de la Calidad del ejercicio de las auditorias internas</t>
  </si>
  <si>
    <t>Verificar el mejoramiento continuo y cumplimiento de los objetivos institucionales de la entidad pública.</t>
  </si>
  <si>
    <t>Seguimiento Directiva 015 de 2022</t>
  </si>
  <si>
    <t>Directiva 015 de 2022</t>
  </si>
  <si>
    <t>Obligaciones relacionadas con el fortalecimiento de la meritocracia, del empleo y la función pública en el estado colombiano.</t>
  </si>
  <si>
    <t>ACTIVIDADES DE CONSULTORÍA-ASESORIA Y ACOMPAÑAMIENTO</t>
  </si>
  <si>
    <t>Resolución 002 de 2022</t>
  </si>
  <si>
    <t>Seguimiento a la implementación  del Código de Integridad de la Empresa vigencia 2024</t>
  </si>
  <si>
    <t>Plan Institucional de Archivos de la Entidad PINAR - Plan Estratégico de Talento Humano - Plan de Trabajo Anual en Seguridad y Salud en el Trabajo - Sistema de Gestión de Seguridad y Salud en el Trabajo</t>
  </si>
  <si>
    <t>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t>
  </si>
  <si>
    <t>Plan Estratégico de Tecnologías de la Información y las Comunicaciones ­ PETI - Plan de Tratamiento de Riesgos de Seguridad y Privacidad de la Información - Plan de Seguridad y Privacidad de la Información</t>
  </si>
  <si>
    <t>Decreto 612 de 2018</t>
  </si>
  <si>
    <t>Decreto 612 de 2018 - Decreto 1072 de 2015</t>
  </si>
  <si>
    <t>Seguimiento adjudicación San Victorino</t>
  </si>
  <si>
    <t>Proceso adquisición de suelo por enajenación voluntaria, expropiación administrativa o judicial - Adquisición proyectos Tercera Concurrencia - Adquisición proyecto San Bernardo Tercer Milenio AMD 1 – Convenio 3151-2019 suscrito con el IDRD.</t>
  </si>
  <si>
    <t xml:space="preserve">Normas concordantes con el objeto y alcance la Auditoría - Politica de riesgos </t>
  </si>
  <si>
    <t>Dar cumplimiento a lo requerido por parte de la Revisoría Físcal en cuanto a resguardo de los activos y recursos de la Empresa</t>
  </si>
  <si>
    <t>Seguimiento a actos administrativos Internos</t>
  </si>
  <si>
    <t>Efectuar verificación y cumplimiento del esquema asociado conforme en lo establecido en las normas legales vigentes</t>
  </si>
  <si>
    <t>Realizar el seguimiento del proceso especifico citado</t>
  </si>
  <si>
    <t>Dar cumplimiento a las nortmas legales vigentes</t>
  </si>
  <si>
    <t xml:space="preserve">Efectuar verificación y cumplimiento del proceso de evaluación </t>
  </si>
  <si>
    <t>Maduración y Calidad en la construccion del anexo técnico para los proyectos - gestión contractual</t>
  </si>
  <si>
    <t xml:space="preserve">Realizar la revisión del avance del anexo técnico citado en el proceso evaluado. </t>
  </si>
  <si>
    <t>Auditoria de Gestión Contractual</t>
  </si>
  <si>
    <t xml:space="preserve">Efectuar el seguimiento de la Implementación y puesta en producción del sistema SIM </t>
  </si>
  <si>
    <t>Auditoria implementación sistema de información SIM</t>
  </si>
  <si>
    <t>Realizar la revisión, estudio, análisis, de la ejecución de la contratación conforme el alcance determinado vigencia 2024</t>
  </si>
  <si>
    <t>Decreto 1081 de 2015</t>
  </si>
  <si>
    <t>Auditor Lider</t>
  </si>
  <si>
    <t>Critica no recuperable</t>
  </si>
  <si>
    <t>Seguimiento Proceso Armonización Planes de Desarrollo - continuidad proyectos</t>
  </si>
  <si>
    <t>Normas concordantes funcinamiento plataformas digitales</t>
  </si>
  <si>
    <t>Eficiencia administrativa, participación y servicios automatizados Empresa y medios electrónicos</t>
  </si>
  <si>
    <t>Actividad programada</t>
  </si>
  <si>
    <t>Actividad POR CONFIRMAR TIEMPO EXACTO EJECUCION - ENTE EXTERNO</t>
  </si>
  <si>
    <t>Cierre Gestión Contractual 2023</t>
  </si>
  <si>
    <t>Realizar la revisión, estudio, análisis, de la ejecución de la contratación conforme el alcance determinado vigencia 2023</t>
  </si>
  <si>
    <t>Reuniones mensuales</t>
  </si>
  <si>
    <t>Asesoría y acompañamiento en la identificación de riesgos y cumplimiento tareas asignadas</t>
  </si>
  <si>
    <t>Constitución Política de 1991, artículos 268 y 272
Ley 42 de 1993
Ley 1474 de 2011</t>
  </si>
  <si>
    <t>Seguimiento estado Obra Alcaldia Mártires</t>
  </si>
  <si>
    <t>Seguimiento rol Empresa Ciudadela del Cuidado</t>
  </si>
  <si>
    <t xml:space="preserve">Apoyo realización comité de auditoría y seguimiento de los compromisos establecidos </t>
  </si>
  <si>
    <t>Actividad que no aplica para ese período</t>
  </si>
  <si>
    <t>Revisó y aprobó :Jefe Oficina de Control Interno</t>
  </si>
  <si>
    <t>Auditoría DRI - Actuación Especial Fiscalización - Contrato 430 de 2023</t>
  </si>
  <si>
    <t>Seguimiento a SARLAFT</t>
  </si>
  <si>
    <t>Auditoría de Control Fiscal en Modalidad de Actuación Especial de Fiscalización - San Victorino y Fondo de Cargas 2019 - 2023</t>
  </si>
  <si>
    <t>Seguimiento Acuerdos de Gestión</t>
  </si>
  <si>
    <t>Seguimiento y Control al Programa de Transparencia y Etica Pública</t>
  </si>
  <si>
    <t>Alberto Florez - Javier Rincon</t>
  </si>
  <si>
    <t>Jpablo Contreras - Javier Rincon, JRamon Santis</t>
  </si>
  <si>
    <t>Ernesto Quintana - Javier Rincon</t>
  </si>
  <si>
    <t>Lily Moreno - JRamon Santis</t>
  </si>
  <si>
    <t>JEdwin Lozano</t>
  </si>
  <si>
    <t>Ernesto Quintana</t>
  </si>
  <si>
    <t>Alberto Florez - Grupo auditor</t>
  </si>
  <si>
    <t>JRamon Santis - Grupo auditor</t>
  </si>
  <si>
    <t>JEdwin Lozano - Lily Moreno</t>
  </si>
  <si>
    <t>JPablo Contreras - Orlando Torres</t>
  </si>
  <si>
    <t>JPablo Contreras - JRamon Santis</t>
  </si>
  <si>
    <t>Orlando Torres - JPablo Contreras</t>
  </si>
  <si>
    <t>Orlando Torres - Javier Rincon, JRamon Santis</t>
  </si>
  <si>
    <t>Janeth Villalba</t>
  </si>
  <si>
    <t>Karina Córdoba - Alberto Florez, Grupo auditor</t>
  </si>
  <si>
    <t>Grupo auditor</t>
  </si>
  <si>
    <t xml:space="preserve">Diagnóstico implementación NIAS </t>
  </si>
  <si>
    <t>Juan P Contreras - Orlando Torres</t>
  </si>
  <si>
    <t>´DIC-23</t>
  </si>
  <si>
    <t xml:space="preserve">Reuniones de Autoevaluación Proceso </t>
  </si>
  <si>
    <t>Auditoría Financiera y de Gestión PAD 2024 Vigencia 2023</t>
  </si>
  <si>
    <t>Visitas Administrativas Entes de Control ( a demanda)</t>
  </si>
  <si>
    <t>Informes gestión OCI 2023</t>
  </si>
  <si>
    <t>Procentaje</t>
  </si>
  <si>
    <t>Vigencia</t>
  </si>
  <si>
    <t xml:space="preserve">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</si>
  <si>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</si>
  <si>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t>Acuerdo 047 de 2022</t>
  </si>
  <si>
    <t>2020-2023</t>
  </si>
  <si>
    <t>01/012024</t>
  </si>
  <si>
    <t>2023-2024</t>
  </si>
  <si>
    <t>SI</t>
  </si>
  <si>
    <t>Para 6 Procesos Estrategicos</t>
  </si>
  <si>
    <t xml:space="preserve">En proceso de actualizacion miembros comité </t>
  </si>
  <si>
    <t>Efectuar el seguimiento de SARLAFT conforme lo establecido en la Empresa</t>
  </si>
  <si>
    <t>Se traslado cierre al mes de Enero de 2023  (cesión del contrato de auditor Líder-proceso contratacion auditor).</t>
  </si>
  <si>
    <t>Navis Florez - Juan P Contreras</t>
  </si>
  <si>
    <t>Navis Florez  - Javier Rincon</t>
  </si>
  <si>
    <t>Ernesto Quintana - Alberto Florez - Javier Rincon</t>
  </si>
  <si>
    <t>Janeth Villalba - Orlando Torres, JPablo Contreras</t>
  </si>
  <si>
    <t>Orlando Torres - Jpablo Contreras - Alberto Florez</t>
  </si>
  <si>
    <t>JEdwin Lozano - Auditor de apoyo</t>
  </si>
  <si>
    <t>JPablo Contreras - Orlando Torres - Jose R Santis</t>
  </si>
  <si>
    <t>Janeth Villalba - Auditores de apoyo</t>
  </si>
  <si>
    <t>JEdwin Lozano - Auditor 2 de apoyo</t>
  </si>
  <si>
    <t>Janeth Villalba - Apoyo auditor</t>
  </si>
  <si>
    <t>Orlando Torres - Jpablo Contreras - JRamon Santis</t>
  </si>
  <si>
    <t>JP Contreras - Orlando Torres</t>
  </si>
  <si>
    <t>Lily Moreno - Auditor de apoyo 1</t>
  </si>
  <si>
    <t>JPablo Contreras - Javier Rincon, JRamon Santis - Auditor2</t>
  </si>
  <si>
    <t>Edgar Mogollón - Orlando Torres - JRamon Santis - Auditor 2</t>
  </si>
  <si>
    <t>Lily Moreno - Auditor 2</t>
  </si>
  <si>
    <t>Lily Moreno - JEdwin Lozano - Apoyo Auditor 2</t>
  </si>
  <si>
    <t>Ernesto Quintana - Auditor 2 de Apoyo</t>
  </si>
  <si>
    <t>Lily Moreno - Auditor de apoyo 2</t>
  </si>
  <si>
    <t xml:space="preserve"> Vigencia 2024:  Jefe Oficina OCI,Un (1) Gestor Senior 3 de planta, Ocho (8) contratistas de apoyo.
  Tecnológicos: Equipo de cómputo, sistemas de información, sistemas de redes y correo electrónico de la empresa.</t>
  </si>
  <si>
    <t>Informe Presentado el 28 de febrero de 2024. Radicado 
I2024000433</t>
  </si>
  <si>
    <t>Informe Presentado el 28 de febrero de 2024. Radicado 
S2024000867</t>
  </si>
  <si>
    <t>Certificado generado el 14 de febrero de 2024</t>
  </si>
  <si>
    <t>I2024000555 Informe Seguimiento Implementación y Puesta en producción SIM - 13/03/2024</t>
  </si>
  <si>
    <t>* I2024000487 Informe inicial cumplimiento normas en materia de DDA sobre software 2023 - 06/03/2024
* I2024000623 Informe final cumplimiento normas en materia de DDA sobre software 2023 - 15/03/2024
* Confirmación Presentación Informe software legal 2023 - 15/03/2024</t>
  </si>
  <si>
    <t>Esta actividad no se encuentra programada en el PAA para la vigencia 2024.</t>
  </si>
  <si>
    <t>Se dará inicio en la segunda semana de abril de 2024, al seguimiento de las bases de datos personales de la Empresa registradas en la RNBD a corte marzo 31 de 2024.</t>
  </si>
  <si>
    <t xml:space="preserve">Mediante la Resolución 104 del 13 de marzo de 2024, por la cual se modifica parcialmente  la Resolución 195 del 14 de junio de  2018, por la cual se crea y reglamenta el funcionamiento del Comité Institucional de Coordinación de Control Interno de la Empresa de Renovación y desarrollo Urbano de Bogotá. D:C  </t>
  </si>
  <si>
    <t>Se presento el informe de peticiones , quejas y reclamos correspondiente al segundo semestre de del año 2023</t>
  </si>
  <si>
    <t>Radicado bajo el No. I2024000111</t>
  </si>
  <si>
    <t>Matriz Programa de Aseguramiento y Mejora de la Calidad.</t>
  </si>
  <si>
    <t>Seguimiento Plan Anticorrupción y de atención al Ciudadano corte Septiembre - diciembre 2023 publicado el 16 de enero de 2024 en  link: www.renobo.com.co/transparencia/planeacion-presupuesto-e-informes/informes-oficina-control-interno</t>
  </si>
  <si>
    <t>Informe Presentado el 28 de febrero de 2024. Radicado 
I2024000438</t>
  </si>
  <si>
    <t>Visita Administrativa realizada por la Contraloría de Bogotá, al Proyecto Alcaldía Local de Los Mártires, del 29/02/2024. Como constancia de lo anterior, remito la lista de asistencia a dicha visita.
Visitas Administrativas de Entes de Control recibidas durante el primer trimestre de 2024, asistí como apoyo a los auditores asignados para la atención.</t>
  </si>
  <si>
    <t>Navis Alberto Florez - Fernando Sanchez</t>
  </si>
  <si>
    <t>Ernesto Quintana - Javier Rincon- Navis Florez</t>
  </si>
  <si>
    <t>Jose Edwin Lozano  - Ruben Mauricio Gonzalez - Fernando Sanchez - Jose Ramon Santis</t>
  </si>
  <si>
    <t>Pendiente identificacion Auditoria</t>
  </si>
  <si>
    <t>Se reprograma conforme al contrato que esta acargo de la Oficina Asesora de Planeacion</t>
  </si>
  <si>
    <t>Dos reportes con corte a Diciembre 31 de 2023 y Marzo 31 de 2024 (VAC)</t>
  </si>
  <si>
    <t>Se elaboró el respectivo informe para el cuarto trimestre de 2023 (preguntar a Miguel)</t>
  </si>
  <si>
    <t xml:space="preserve">Actividad reprogramada </t>
  </si>
  <si>
    <t>Auditoria Externa de Seguimiento a la Certificacion bajo la norma</t>
  </si>
  <si>
    <t>Identificar la conformidad, capacidad, eficacia con los requisitos de la norma del Sistema de Gestion y las areas de mejora- ente certificador ICONTEC</t>
  </si>
  <si>
    <t xml:space="preserve">Version 2-Marzo 13 de 2024 </t>
  </si>
  <si>
    <t>Version 3-Mayo 29 de 2024</t>
  </si>
  <si>
    <t>Version 1-Diciembre 28 de 2023</t>
  </si>
  <si>
    <t>Reprogramacion para verificar el avance de los planes</t>
  </si>
  <si>
    <t>Reprogramado según la aprobacion PDD</t>
  </si>
  <si>
    <t>Orlando Torres Malaver - Juan Pablo Contreras - Javier Rincon</t>
  </si>
  <si>
    <t>Alberto Florez - Ruben Mauricio Gonzalez- Fernando Sanchez - Javier Rincon</t>
  </si>
  <si>
    <t>Edgar Mogollón - Orlando Torres - Fernando Sanchez Jacobo</t>
  </si>
  <si>
    <t>Lily Moreno - Orlando Torres Malaver- Juan Pablo Contreras - JRamon Santis</t>
  </si>
  <si>
    <t>JPablo Contreras - Javier Rincon - Orlando Torres Malaver</t>
  </si>
  <si>
    <t>Radicado No . I2024000987 del 02 de mayo de 2024</t>
  </si>
  <si>
    <t>JRamon Santis - Fernando Sanchez Jacobo</t>
  </si>
  <si>
    <t>I2024000442 Informe bases de datos personales OCI - 29/02/2024
I2024000966 abril 30 de 2024</t>
  </si>
  <si>
    <t>Las actividades programadas en el PAMC, para el primer cuatrimestre del año 2024, se ejecutaron, tal como se puede evidenciar en la matriz del Programa de Aseguramiento y Mejora de la Calidad.</t>
  </si>
  <si>
    <t>Auditoría DRI -Alcaldia Local de Martires  IP- 18000- 0002 - 24</t>
  </si>
  <si>
    <t>Versión 3 - 2024</t>
  </si>
  <si>
    <t>Oficina Asesora de Planeacion</t>
  </si>
  <si>
    <t>Auditoria proyecto misional 1 (proyecto san Bernardo)</t>
  </si>
  <si>
    <t>Auditoria proyecto misional 2 (Actuaciones Estrategicas)</t>
  </si>
  <si>
    <t>Auditoria proceso administrativo 1 (Esquema Fiduciario)</t>
  </si>
  <si>
    <t>Jose Edwin Lozano- Auditor de Apoyo</t>
  </si>
  <si>
    <t>Jose Edwin Lozano - Auditores de apoyo</t>
  </si>
  <si>
    <t>Orlando Torres - Auditores de apoyo</t>
  </si>
  <si>
    <t>Verificar el marco administrativo establecido en la Entidad, conforme a su estructura y normas legales vigentes</t>
  </si>
  <si>
    <t>Informe remitifo a Jefe de Control Interno por correo el 3 de mayo de 2024 para revisión. Avance 90%.</t>
  </si>
  <si>
    <t>Certificado Enero generado el 9 de febrero de 2024
Certificado Febrero generado el 11 de marzo de 2024
Certificado Marzo generado el 9 de abril 2024
Certificado abril generado el 10 de mayo de 2024
Certificado mayo generado el 13 de junio de 2024</t>
  </si>
  <si>
    <t>Se realizaron cuatro (4) de las cinco (5) mesas de trabajo programadas para el primer semestre de 2024, con colaboradores del proceso de Gestión de TIC, para evaluar el estado del PETI (16/02/2024 y 14/06/2024) y el Plan de Tratamiento de Riesgos de Seguridad y Privacidad de la Información (15/03/2024 y 11/04/2024), previo al Trabajo de Auditoría a realizarse en el cuarto bimestre de 2024.</t>
  </si>
  <si>
    <t>Se presentará en la cuarta semana del mes de junio de 2024, el informe con los resultados de la evaluación del estado de operatividad y usabilidad del SIM de la Empresa.</t>
  </si>
  <si>
    <t>Se elaboró el instrumento de control para evaluar el comportamiento de los hallazgos referidos por la Contraloría de Bogotá en los informes finales de auditoría allegados a la Empresa, el cual fue remitido a la jefe de la Oficina el 21 de mayo de 2024 para su revisión y comentarios.
Se elaboró el Informe de Seguimiento a los hallazgos presentados por la Contraloría de Bogotá en los Informes de auditoría realizados en el periodo comprendido entre 2019 y 2024, el cual fue remitido a la jefe de la Oficina el 14 de junio de 2024 para su revisión y comentarios.</t>
  </si>
  <si>
    <t>Se realizará una auditoría express en la tercera semana del mes de junio de 2024, a una muestra representativa de los equipos de cómputo de la Empresa, para evaluar el software instalado y su licenciamiento.</t>
  </si>
  <si>
    <t>Se presentará en la cuarta semana del mes de junio de 2024, el informe con los resultados de la evaluación integral del sitio web de la Empresa, en el marco de la Ley 1712 de 2014 y la Resolución MINTIC 1519 de 2020.</t>
  </si>
  <si>
    <t>Actas del CICCI , No. 5 de diciembre 28 de 2023 y Acta No.1 de 13 de marzo de 2024</t>
  </si>
  <si>
    <t xml:space="preserve">Se presentó y se aprobó  el PAA  a las administraciones de la ERU del momento. De igual manera ,Se implementó </t>
  </si>
  <si>
    <t xml:space="preserve">Resolución 104 del 13 de marzo de 2024. Actas del CICCI NO. 1 del 13 de marzo de 2024 y Acta No. 2 del 28  de mayo de 2024.
</t>
  </si>
  <si>
    <t xml:space="preserve"> Estado de avance al 15 de junio de 2024 del 90%. Se entregará dentro del plazo establecido, antes del 30 de junio</t>
  </si>
  <si>
    <t>Se está realizando el informe de seguimiento a las lineas de defensa. Se entregará dentro del plazo establecido, antes del 30 de junio</t>
  </si>
  <si>
    <t xml:space="preserve">Informe Presentado el 31 de mayo de 2024. Radicado I2024001202 </t>
  </si>
  <si>
    <t>Informe en Revision de la Jefatura OCI</t>
  </si>
  <si>
    <t>Certificado de diligenciamiento expedido el dia 07/05/2024 a las 15:07 PM</t>
  </si>
  <si>
    <t>Se diligenció el formulario y se remitieron los comprobantes via correo electronico el dia miércoles 8 mayo a las  13:41 PM</t>
  </si>
  <si>
    <t>Avance 50%</t>
  </si>
  <si>
    <t>Informe Entregado y ajustado pendiente por publicación Jefe Oficina de Control Interno</t>
  </si>
  <si>
    <t>Matriz de Seguimiento Mapa de Riesgos por Procesos y corrupción corte septiembre - diciembre 2023 publicado el 16 de enero de 2024 en  link: https://www.renobo.com.co/transparencia/planeacion-presupuesto-e-informes/informes-oficina-control-interno.
INFORME DE SEGUIMIENTO MAPA DE RIESGOS INSTITUCIONAL - CORTE SEPTIEMBRE – DICIEMBRE DE 2023 – RADICADO I2024000635.
Matriz de Seguimiento Mapa de Riesgos por Procesos y corrupción corte enero - abril 2024 publicado el 16 de mayo de 2024 en  link: https://www.renobo.com.co/transparencia/planeacion-presupuesto-e-informes/informes-oficina-control-interno.</t>
  </si>
  <si>
    <t>Informe Ejecutivo pendiente por radicar por parte de la Jefe de Control Interno</t>
  </si>
  <si>
    <t>Campaña de autocontrol Programada para el 26 de Junio de 2024</t>
  </si>
  <si>
    <t>Matriz de Seguimiento Plan de Mejoramiento octubre- diciembre 2023 publicada en la pagina Web  link: Matriz de seguimiento Plan de Mejoramiento por Procesos octubre - diciembre 2023 el 24  de enero de 2024
INFORME PLAN DE MEJORAMIENTO POR PROCESOS DICIEMBRE 2023 – RADICADO I2024000217
Informe Plan de Mejoramiento corte marzo de 2024- I2024001014 de mayo 08 de 2024
Matriz de Seguimiento Plan de Mejoramiento enero - abril 2024 publicada en la pagina Web  https://renobo.com.co/transparencia/planeacion-presupuesto-e-informes/informes-de-gestion-evaluacion-y-auditoria/planes-de-mejoramiento</t>
  </si>
  <si>
    <t>Se encuentra en aprobación el programa de auditoria por parte del Jefe de Control Interno.</t>
  </si>
  <si>
    <r>
      <rPr>
        <b/>
        <u/>
        <sz val="18"/>
        <rFont val="Calibri"/>
        <family val="2"/>
        <scheme val="minor"/>
      </rPr>
      <t xml:space="preserve">Corte 14 de junio de 2024.
</t>
    </r>
    <r>
      <rPr>
        <sz val="18"/>
        <rFont val="Calibri"/>
        <family val="2"/>
        <scheme val="minor"/>
      </rPr>
      <t>1 - Reunión Líderes Operativos 1 del 20/02/2024 (Invitación Registro de Asistencia y Material).
2 - Reunión Líderes Operativos 2 del 19/03/2024 (Invitación Registro de Asistencia y Material).
3 - Reunión Líderes Operativos 3 del 11/04/2024 (Invitación Registro de Asistencia y Material).
4 - Reunión Líderes Operativos 4 del 30/05/2024 (Invitación Registro de Asistencia y Material).</t>
    </r>
  </si>
  <si>
    <r>
      <rPr>
        <b/>
        <u/>
        <sz val="18"/>
        <rFont val="Calibri"/>
        <family val="2"/>
        <scheme val="minor"/>
      </rPr>
      <t xml:space="preserve">Corte 14 de junio de 2024.
</t>
    </r>
    <r>
      <rPr>
        <sz val="18"/>
        <rFont val="Calibri"/>
        <family val="2"/>
        <scheme val="minor"/>
      </rPr>
      <t xml:space="preserve">Se asistió a las reuniones de Líderes Operativos en representación del Proceso de Evaluación y seguimiento, realizadas así: 
</t>
    </r>
    <r>
      <rPr>
        <b/>
        <sz val="18"/>
        <rFont val="Calibri"/>
        <family val="2"/>
        <scheme val="minor"/>
      </rPr>
      <t xml:space="preserve">Reunión No 1 - 20/02/2024 </t>
    </r>
    <r>
      <rPr>
        <sz val="18"/>
        <rFont val="Calibri"/>
        <family val="2"/>
        <scheme val="minor"/>
      </rPr>
      <t xml:space="preserve">Temas a tratar: 1. Bienvenida, 2. Rol líderes operativos, 3. Gestión de cambio nuevo mapa de procesos, 4. Seguimientos Segunda Línea de Defensa 5. Varios.
</t>
    </r>
    <r>
      <rPr>
        <b/>
        <sz val="18"/>
        <rFont val="Calibri"/>
        <family val="2"/>
        <scheme val="minor"/>
      </rPr>
      <t xml:space="preserve">Reunión No 2  - 19/03/2024 </t>
    </r>
    <r>
      <rPr>
        <sz val="18"/>
        <rFont val="Calibri"/>
        <family val="2"/>
        <scheme val="minor"/>
      </rPr>
      <t xml:space="preserve">Temas a tratar: 1. Directiva 008-2021, 2. Socialización PD-17 Planes de Mejoramiento, 3. Agendas Abiertas, 4. Avances Plan de Gestión del Cambio nuevo Mapa de procesos, 5. Reporte de materialización de riesgos, 6. Varios
</t>
    </r>
    <r>
      <rPr>
        <b/>
        <sz val="18"/>
        <rFont val="Calibri"/>
        <family val="2"/>
        <scheme val="minor"/>
      </rPr>
      <t xml:space="preserve">Reunión No 3  - 11/04/2024 </t>
    </r>
    <r>
      <rPr>
        <sz val="18"/>
        <rFont val="Calibri"/>
        <family val="2"/>
        <scheme val="minor"/>
      </rPr>
      <t xml:space="preserve">Temas a tratar:Socialización GI-49 Guía de Gestión Integral de Proyectos.
</t>
    </r>
    <r>
      <rPr>
        <b/>
        <sz val="18"/>
        <rFont val="Calibri"/>
        <family val="2"/>
        <scheme val="minor"/>
      </rPr>
      <t>Reunión No 4  - 30/05/2024</t>
    </r>
    <r>
      <rPr>
        <sz val="18"/>
        <rFont val="Calibri"/>
        <family val="2"/>
        <scheme val="minor"/>
      </rPr>
      <t xml:space="preserve"> Temas a tratar: - Rol como Segunda Línea de Defensa de Líderes de la implementación de las Políticas establecidas en el MIPG y Líderes o Coordinadores de otros sistemas de gestión de la Empresa
- Reporte materialización riesgos - Balance
- Resultados del seguimiento a indicadores
- Avances del Plan de Gestión del Cambio
- Resultados del seguimiento a la Estrategia de Participación
- Plan GESCO+I
- Actualización activos de información</t>
    </r>
  </si>
  <si>
    <t>NO APLICA PARA EL CORTE DEL REPORTE</t>
  </si>
  <si>
    <r>
      <t xml:space="preserve">Informe elaborado por el funcionario Edgar Mogollon, enviado a la Gerencia
</t>
    </r>
    <r>
      <rPr>
        <b/>
        <sz val="18"/>
        <rFont val="Calibri"/>
        <family val="2"/>
        <scheme val="minor"/>
      </rPr>
      <t>EL SEGUNDO INFORME NO APLICA PARA EL CORTE DEL REPORTE</t>
    </r>
  </si>
  <si>
    <t xml:space="preserve">
1 - INFORME DE GESTIÓN DE LA OFICINA DE CONTROL INTERNO VIGENCIA 2023 CORTE A 31 DE DICIEMBRE DE 2023 - RADICADO I2024000289.</t>
  </si>
  <si>
    <r>
      <rPr>
        <b/>
        <u/>
        <sz val="18"/>
        <rFont val="Calibri"/>
        <family val="2"/>
        <scheme val="minor"/>
      </rPr>
      <t xml:space="preserve">
</t>
    </r>
    <r>
      <rPr>
        <sz val="18"/>
        <rFont val="Calibri"/>
        <family val="2"/>
        <scheme val="minor"/>
      </rPr>
      <t>Se elaboró el Informe de Gestión de la Oficina de Control Interno vigencia 2023 Corte a 31 de diciembre de 2023, el cual fue radicado bajo radicado I2024000289 del 14/02/2024.</t>
    </r>
  </si>
  <si>
    <r>
      <t xml:space="preserve">Corte 14  de junio de 2024
</t>
    </r>
    <r>
      <rPr>
        <sz val="18"/>
        <rFont val="Calibri"/>
        <family val="2"/>
        <scheme val="minor"/>
      </rPr>
      <t>1 - Acta Autoevaluación No 1 del 31/01/2024.
2 - Acta Autoevaluación No 2 del 15/03/2024.
2 - Acta Autoevaluación No 3 del 22/04/2024.</t>
    </r>
  </si>
  <si>
    <r>
      <rPr>
        <b/>
        <u/>
        <sz val="18"/>
        <rFont val="Calibri"/>
        <family val="2"/>
        <scheme val="minor"/>
      </rPr>
      <t>Corte 14 de junio de 2024</t>
    </r>
    <r>
      <rPr>
        <sz val="18"/>
        <rFont val="Calibri"/>
        <family val="2"/>
        <scheme val="minor"/>
      </rPr>
      <t xml:space="preserve">
1 - Reunión de Autoevaluación No 1 del 31/01/2024: Orden del día: SEGUIMIENTO AL PAA 2024, SEGUIMIENTO A REQUERIMIENTOS DE ENTES EXTERNOS DE CONTROL ASIGNADOS,  Y SEGUIMIENTO A TAREAS ASIGNADAS.
2 - Reunión de Autoevaluación No 2 del 15/03/2024: Socialización de la Actualización - Caracterización del Proceso de Evaluación y Seguimiento, Seguimiento al PAA 2024, Labores Generales Programadas, y Temas Varios.
3 - Reunión de Autoevaluación No 2 del 22/04/2024: Seguimiento, Seguimiento al PAA 2024, Labores Generales Programadas, y Temas Varios.</t>
    </r>
  </si>
  <si>
    <r>
      <rPr>
        <b/>
        <u/>
        <sz val="18"/>
        <rFont val="Calibri"/>
        <family val="2"/>
        <scheme val="minor"/>
      </rPr>
      <t xml:space="preserve">Corte 14 de junio de 2024
</t>
    </r>
    <r>
      <rPr>
        <sz val="18"/>
        <rFont val="Calibri"/>
        <family val="2"/>
        <scheme val="minor"/>
      </rPr>
      <t>1 - Correo electrónico de socialización grupo de trabajo OCI - Documentos del proceso.
2 - Correo electrónico a la OAP - Act. cracterización del Proceso.
3 - Solicitud Caracterización del Proceso por Azsing.
4 - Aprobación Caracterización del Proceso por Azsing.
5 - Correo electrónico de socialización grupo de trabajo OCI - Caracterizaación de Proceso.
6 - Correo electrónico de socialización partes interesadas - Caracterización delProceso.
7 - PROPUESTA - ACTUALIZACIÓN PROCEDIMIENTO PD 55 - RELACIÓN CON ENTES EXTERNOS DE CONTROL</t>
    </r>
  </si>
  <si>
    <r>
      <rPr>
        <b/>
        <u/>
        <sz val="18"/>
        <rFont val="Calibri"/>
        <family val="2"/>
        <scheme val="minor"/>
      </rPr>
      <t xml:space="preserve">Corte 14 de junio de 2024.
</t>
    </r>
    <r>
      <rPr>
        <sz val="18"/>
        <rFont val="Calibri"/>
        <family val="2"/>
        <scheme val="minor"/>
      </rPr>
      <t xml:space="preserve">
</t>
    </r>
    <r>
      <rPr>
        <sz val="14"/>
        <rFont val="Calibri"/>
        <family val="2"/>
        <scheme val="minor"/>
      </rPr>
      <t xml:space="preserve">1 - SOCIALIZACIÓN DE DOCUMENTOS DEL PROCESO DE EVALUACIÓN Y SEGUIMIENTO USO Y REVISIÓN.
• Remisión vía correo electrónico al grupo de trabajo OCI, los documentos del proceso de evaluación y seguimiento, para su debido uso en los
trabajos de auditoría que implementamos desde la Oficina de Control Interno, en el marco del Plan Anual de Auditoría. Igualmente, si se tienen
sugerencias de cambio o actualizaciones proceder con el trámite correspondiente.
2 - ACTUALIZACIÓN DE DOCUMENTOS DEL PROCESO DE EVALUACIÓN Y SEGUIMIENTO.
•CP-17 Caracterización Evaluación y Seguimiento V5 (en versión remitida por la SPAP). Construcción del primer documento de la actualización de la
caracterización de nuestro proceso, teniendo en cuenta que la misma no se ve afectada por la nueva estructura organizacional de la Empresa, con
ajustes de forma, e incluyendo en sus actividades del ciclo PHVA, los roles de la oficina que corresponden. Dicho documento fue remitido vía correo
electrónico a la jefatura de la oficina, para revisión y VoBo. Lo anterior, en atención del requerimiento que, sobre el asunto, fue remitido por la Oficina
Asesora de Planeación.
3 - ACTUALIZACIÓN DE DOCUMENTOS DEL PROCESO DE EVALUACIÓN Y SEGUIMIENTO.
•Actualización del documento - CP-17 Caracterización Evaluación y Seguimiento V5 (en versión remitida por la SPAP) y aprobación de la
misma por medio de azsign@analitica.com.co.
•Socialización a nuestro grupo de trabajo – Actualización del documento - CP-17 Caracterización Evaluación y Seguimiento V5.
•Socialización a partes interesadas - Actualización del documento - CP-17 Caracterización Evaluación y Seguimiento V5.
*PROPUESTA - ACTUALIZACIÓN PROCEDIMIENTO PD 55 - RELACIÓN CON ENTES EXTERNOS DE CONTROL	</t>
    </r>
  </si>
  <si>
    <r>
      <rPr>
        <b/>
        <u/>
        <sz val="18"/>
        <rFont val="Calibri"/>
        <family val="2"/>
        <scheme val="minor"/>
      </rPr>
      <t>Corte 14 de junio de 2024.</t>
    </r>
    <r>
      <rPr>
        <sz val="18"/>
        <rFont val="Calibri"/>
        <family val="2"/>
        <scheme val="minor"/>
      </rPr>
      <t xml:space="preserve">
1 - Cuadro Atención Requerimientos - Primer Trimestre 2024.</t>
    </r>
  </si>
  <si>
    <r>
      <t xml:space="preserve">
</t>
    </r>
    <r>
      <rPr>
        <b/>
        <u/>
        <sz val="18"/>
        <rFont val="Calibri"/>
        <family val="2"/>
        <scheme val="minor"/>
      </rPr>
      <t xml:space="preserve">Corte 14 de junio de 2024.
</t>
    </r>
    <r>
      <rPr>
        <sz val="18"/>
        <rFont val="Calibri"/>
        <family val="2"/>
        <scheme val="minor"/>
      </rPr>
      <t xml:space="preserve">Requerimientos en Gestión: 6
Requerimientos Atendidos: 441
</t>
    </r>
    <r>
      <rPr>
        <sz val="22"/>
        <rFont val="Calibri"/>
        <family val="2"/>
        <scheme val="minor"/>
      </rPr>
      <t>Total de Requerimientos Recibidos: 447</t>
    </r>
  </si>
  <si>
    <t>Trabajo de Auditoría en ejecución mayo a julio de 2024. Avance 40%
Plan de trabajo de la auditoría.
Reunión de apertura del 29/05/2024.
Elaboración de listas de chequeo.
Solicitud de información.</t>
  </si>
  <si>
    <t>Informo que los informes fueron radicados bajo los siguientes números, 
I2024001122 del 22/05/2024 - Informe Seguimiento Metas PDD con corte a diciembre 31 de 2023
I2024001124 del 22/05/2024 - Informe Seguimiento Metas PDD con corte a marzo 31 de 2024
Los próximos reportes se tienen programados para agosto - septiembre y noviembre - diciembre de 2024.</t>
  </si>
  <si>
    <t xml:space="preserve">
El trabajo de auditoría se tiene programado para junio y julio de 2024.</t>
  </si>
  <si>
    <t>Informe Final - Dirección de Reacción Inmediata - Actuación Especial Fiscalización Aud 197- Ciudadela Educativa y del Cuidado - Contrato 430 de 2023 - Radicado E2024004279. Certificado de Transmisión - Plan de Mejoramiento: Consecutivo: 102625015712024-05-20.</t>
  </si>
  <si>
    <t xml:space="preserve">Se atendieron las Solicitudes de Información de la Contraloría de Bogotá - IP-18000-0002-24 - Convenio No. 134 de 2016 y Contratos Derivados – Radicados E2024005033 y S2024002307. </t>
  </si>
  <si>
    <t xml:space="preserve">Se solicitó información correspondiente a seguimiento el día 14 de junio  de 2024 co n vencimiento el día 21 de junio de 2024. </t>
  </si>
  <si>
    <t>El documento fue radicado bajo numero No I2024000985 del 30/04/2024</t>
  </si>
  <si>
    <t>Decreto 073 de 2023 y Resolución 385 de 2023</t>
  </si>
  <si>
    <t>Se elaboró el Informe Preliminar del Trabajo de Auditoría al Plan Parcial de Renovación Urbana Voto Nacional - AMD2 Alcaldía Local de Mártires, el cual fue remitido a la jefe de la Oficina el 24 de mayo de 2024 para su revisión y comentarios y, posterior presentación en la reunión de cierre.</t>
  </si>
  <si>
    <t>I2024000270 Informe Seguimiento Plan Mejoramiento Contraloría a corte 31 diciembre 2023 - 13/02/2024
I2024000968 Informe Seguimiento Plan Mejoramiento Contraloría a corte 31 marzo 2024 - 30/04/2024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</si>
</sst>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quot;$&quot;\ * #,##0.00_);_(&quot;$&quot;\ * \(#,##0.00\);_(&quot;$&quot;\ * &quot;-&quot;??_);_(@_)"/>
    <numFmt numFmtId="165" formatCode="[$-C0A]dd\-mmm\-yy;@"/>
    <numFmt numFmtId="166" formatCode="[$-C0A]d\-mmm\-yyyy;@"/>
    <numFmt numFmtId="167" formatCode="0.0"/>
    <numFmt numFmtId="168" formatCode="#,###\ &quot;COP&quot;"/>
    <numFmt numFmtId="169" formatCode="_-* #,##0.0_-;\-* #,##0.0_-;_-* &quot;-&quot;_-;_-@_-"/>
  </numFmts>
  <fonts count="74"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b/>
      <sz val="16"/>
      <color theme="1"/>
      <name val="Century Gothic"/>
      <family val="2"/>
    </font>
    <font>
      <sz val="8"/>
      <name val="Calibri"/>
      <family val="2"/>
      <scheme val="minor"/>
    </font>
    <font>
      <sz val="11"/>
      <name val="Century Gothic"/>
      <family val="2"/>
    </font>
    <font>
      <b/>
      <sz val="11"/>
      <color theme="1"/>
      <name val="Arial"/>
      <family val="2"/>
    </font>
    <font>
      <b/>
      <sz val="10"/>
      <color theme="1"/>
      <name val="Verdana"/>
      <family val="2"/>
    </font>
    <font>
      <sz val="10"/>
      <color theme="1"/>
      <name val="Verdana"/>
      <family val="2"/>
    </font>
    <font>
      <b/>
      <sz val="14"/>
      <color theme="1"/>
      <name val="Calibri"/>
      <family val="2"/>
      <scheme val="minor"/>
    </font>
    <font>
      <sz val="18"/>
      <color theme="1"/>
      <name val="Calibri"/>
      <family val="2"/>
      <scheme val="minor"/>
    </font>
    <font>
      <sz val="18"/>
      <name val="Calibri"/>
      <family val="2"/>
      <scheme val="minor"/>
    </font>
    <font>
      <b/>
      <sz val="18"/>
      <color theme="1"/>
      <name val="Calibri"/>
      <family val="2"/>
      <scheme val="minor"/>
    </font>
    <font>
      <b/>
      <sz val="18"/>
      <name val="Calibri"/>
      <family val="2"/>
      <scheme val="minor"/>
    </font>
    <font>
      <i/>
      <sz val="18"/>
      <color theme="1"/>
      <name val="Calibri"/>
      <family val="2"/>
      <scheme val="minor"/>
    </font>
    <font>
      <sz val="11"/>
      <name val="Century Gothic"/>
      <family val="2"/>
    </font>
    <font>
      <sz val="18"/>
      <color rgb="FFFF0000"/>
      <name val="Calibri"/>
      <family val="2"/>
      <scheme val="minor"/>
    </font>
    <font>
      <b/>
      <u/>
      <sz val="18"/>
      <name val="Calibri"/>
      <family val="2"/>
      <scheme val="minor"/>
    </font>
    <font>
      <sz val="14"/>
      <name val="Calibri"/>
      <family val="2"/>
      <scheme val="minor"/>
    </font>
    <font>
      <sz val="22"/>
      <color rgb="FFFF0000"/>
      <name val="Calibri"/>
      <family val="2"/>
      <scheme val="minor"/>
    </font>
  </fonts>
  <fills count="4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bgColor indexed="64"/>
      </patternFill>
    </fill>
    <fill>
      <patternFill patternType="solid">
        <fgColor rgb="FFDBE5F1"/>
        <bgColor indexed="64"/>
      </patternFill>
    </fill>
    <fill>
      <patternFill patternType="solid">
        <fgColor rgb="FFFFFF00"/>
        <bgColor rgb="FFFFFFFF"/>
      </patternFill>
    </fill>
    <fill>
      <patternFill patternType="solid">
        <fgColor rgb="FF99CC00"/>
        <bgColor indexed="64"/>
      </patternFill>
    </fill>
    <fill>
      <patternFill patternType="solid">
        <fgColor theme="2" tint="-0.249977111117893"/>
        <bgColor indexed="64"/>
      </patternFill>
    </fill>
    <fill>
      <patternFill patternType="solid">
        <fgColor theme="5"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indexed="64"/>
      </left>
      <right/>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auto="1"/>
      </right>
      <top style="medium">
        <color indexed="64"/>
      </top>
      <bottom/>
      <diagonal/>
    </border>
    <border>
      <left style="thin">
        <color indexed="64"/>
      </left>
      <right/>
      <top/>
      <bottom style="medium">
        <color auto="1"/>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auto="1"/>
      </right>
      <top style="thin">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5" fillId="0" borderId="0" applyNumberFormat="0" applyFill="0" applyBorder="0" applyAlignment="0" applyProtection="0">
      <alignment vertical="top"/>
      <protection locked="0"/>
    </xf>
    <xf numFmtId="164" fontId="26"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30" fillId="15" borderId="0" applyNumberFormat="0" applyBorder="0" applyAlignment="0" applyProtection="0"/>
    <xf numFmtId="0" fontId="30" fillId="16" borderId="0" applyNumberFormat="0" applyBorder="0" applyAlignment="0" applyProtection="0"/>
    <xf numFmtId="0" fontId="37" fillId="14" borderId="0" applyNumberFormat="0" applyBorder="0" applyAlignment="0" applyProtection="0"/>
    <xf numFmtId="0" fontId="51" fillId="0" borderId="0"/>
    <xf numFmtId="0" fontId="61" fillId="41" borderId="0" applyNumberFormat="0" applyBorder="0" applyProtection="0">
      <alignment horizontal="center" vertical="center"/>
    </xf>
    <xf numFmtId="49" fontId="62" fillId="0" borderId="0" applyFill="0" applyBorder="0" applyProtection="0">
      <alignment horizontal="left" vertical="center"/>
    </xf>
    <xf numFmtId="168" fontId="2" fillId="0" borderId="0" applyFont="0" applyFill="0" applyBorder="0" applyAlignment="0" applyProtection="0"/>
    <xf numFmtId="41" fontId="1" fillId="0" borderId="0" applyFont="0" applyFill="0" applyBorder="0" applyAlignment="0" applyProtection="0"/>
  </cellStyleXfs>
  <cellXfs count="744">
    <xf numFmtId="0" fontId="0" fillId="0" borderId="0" xfId="0"/>
    <xf numFmtId="0" fontId="0" fillId="0" borderId="1" xfId="0" applyBorder="1"/>
    <xf numFmtId="0" fontId="0" fillId="0" borderId="16" xfId="0" applyBorder="1"/>
    <xf numFmtId="0" fontId="0" fillId="0" borderId="17" xfId="0" applyBorder="1"/>
    <xf numFmtId="9" fontId="0" fillId="0" borderId="18" xfId="2" applyFont="1" applyBorder="1"/>
    <xf numFmtId="0" fontId="0" fillId="0" borderId="19" xfId="0" applyBorder="1"/>
    <xf numFmtId="9" fontId="0" fillId="0" borderId="20" xfId="2" applyFont="1" applyBorder="1"/>
    <xf numFmtId="0" fontId="0" fillId="0" borderId="23" xfId="0" applyBorder="1"/>
    <xf numFmtId="0" fontId="0" fillId="0" borderId="12" xfId="0" applyBorder="1"/>
    <xf numFmtId="0" fontId="10" fillId="9" borderId="26" xfId="0" applyFont="1" applyFill="1" applyBorder="1" applyAlignment="1">
      <alignment horizontal="center"/>
    </xf>
    <xf numFmtId="0" fontId="0" fillId="0" borderId="0" xfId="0" applyAlignment="1">
      <alignment wrapText="1"/>
    </xf>
    <xf numFmtId="0" fontId="0" fillId="7" borderId="32" xfId="0" applyFill="1" applyBorder="1"/>
    <xf numFmtId="0" fontId="0" fillId="7" borderId="33" xfId="0" applyFill="1" applyBorder="1"/>
    <xf numFmtId="0" fontId="0" fillId="7" borderId="34" xfId="0" applyFill="1" applyBorder="1"/>
    <xf numFmtId="0" fontId="0" fillId="7" borderId="13" xfId="0" applyFill="1" applyBorder="1"/>
    <xf numFmtId="0" fontId="0" fillId="7" borderId="0" xfId="0" applyFill="1"/>
    <xf numFmtId="0" fontId="0" fillId="7" borderId="14" xfId="0" applyFill="1" applyBorder="1"/>
    <xf numFmtId="0" fontId="0" fillId="7" borderId="7" xfId="0" applyFill="1" applyBorder="1"/>
    <xf numFmtId="0" fontId="0" fillId="7" borderId="4" xfId="0" applyFill="1" applyBorder="1"/>
    <xf numFmtId="0" fontId="0" fillId="7" borderId="8" xfId="0" applyFill="1" applyBorder="1"/>
    <xf numFmtId="0" fontId="15" fillId="7" borderId="13" xfId="0" applyFont="1" applyFill="1" applyBorder="1" applyAlignment="1">
      <alignment horizontal="justify" vertical="center"/>
    </xf>
    <xf numFmtId="0" fontId="18" fillId="7" borderId="0" xfId="0" applyFont="1" applyFill="1"/>
    <xf numFmtId="0" fontId="15" fillId="7" borderId="7" xfId="0" applyFont="1" applyFill="1" applyBorder="1" applyAlignment="1">
      <alignment horizontal="justify" vertical="center"/>
    </xf>
    <xf numFmtId="0" fontId="17" fillId="0" borderId="26" xfId="0" applyFont="1" applyBorder="1"/>
    <xf numFmtId="14" fontId="16" fillId="0" borderId="28" xfId="0" applyNumberFormat="1" applyFont="1" applyBorder="1"/>
    <xf numFmtId="0" fontId="16" fillId="0" borderId="0" xfId="0" applyFont="1"/>
    <xf numFmtId="9" fontId="0" fillId="0" borderId="38" xfId="2" applyFont="1" applyBorder="1"/>
    <xf numFmtId="0" fontId="0" fillId="0" borderId="25" xfId="0" applyBorder="1" applyAlignment="1">
      <alignment horizontal="center"/>
    </xf>
    <xf numFmtId="9" fontId="0" fillId="7" borderId="33" xfId="0" applyNumberFormat="1" applyFill="1" applyBorder="1"/>
    <xf numFmtId="9" fontId="0" fillId="7" borderId="0" xfId="0" applyNumberFormat="1" applyFill="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0" xfId="0" applyFont="1" applyAlignment="1">
      <alignment horizontal="left" vertical="top"/>
    </xf>
    <xf numFmtId="0" fontId="17" fillId="0" borderId="1" xfId="0" applyFont="1" applyBorder="1" applyAlignment="1">
      <alignment horizontal="center" vertical="center"/>
    </xf>
    <xf numFmtId="0" fontId="28" fillId="7" borderId="13"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4"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28" fillId="7" borderId="35" xfId="0" applyFont="1" applyFill="1" applyBorder="1" applyAlignment="1">
      <alignment horizontal="left" vertical="center" wrapText="1"/>
    </xf>
    <xf numFmtId="0" fontId="28" fillId="7" borderId="36" xfId="0" applyFont="1" applyFill="1" applyBorder="1" applyAlignment="1">
      <alignment horizontal="left" vertical="center" wrapText="1"/>
    </xf>
    <xf numFmtId="0" fontId="18" fillId="7" borderId="35" xfId="0" applyFont="1" applyFill="1" applyBorder="1" applyAlignment="1">
      <alignment horizontal="left" vertical="center"/>
    </xf>
    <xf numFmtId="0" fontId="17" fillId="0" borderId="0" xfId="0" applyFont="1"/>
    <xf numFmtId="14" fontId="16" fillId="0" borderId="0" xfId="0" applyNumberFormat="1" applyFont="1"/>
    <xf numFmtId="0" fontId="18" fillId="7" borderId="0" xfId="0" applyFont="1" applyFill="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0" fillId="18" borderId="0" xfId="0" applyFill="1"/>
    <xf numFmtId="0" fontId="17" fillId="7" borderId="40" xfId="0" applyFont="1" applyFill="1" applyBorder="1" applyAlignment="1">
      <alignment vertical="center"/>
    </xf>
    <xf numFmtId="0" fontId="0" fillId="7" borderId="0" xfId="0" applyFill="1" applyAlignment="1">
      <alignment wrapText="1"/>
    </xf>
    <xf numFmtId="0" fontId="17" fillId="7" borderId="0" xfId="0" applyFont="1" applyFill="1" applyAlignment="1">
      <alignment vertical="center"/>
    </xf>
    <xf numFmtId="0" fontId="0" fillId="7" borderId="0" xfId="0" applyFill="1" applyAlignment="1">
      <alignment horizontal="center"/>
    </xf>
    <xf numFmtId="0" fontId="16" fillId="0" borderId="19" xfId="0" applyFont="1" applyBorder="1"/>
    <xf numFmtId="0" fontId="0" fillId="0" borderId="13" xfId="0" applyBorder="1"/>
    <xf numFmtId="0" fontId="0" fillId="0" borderId="14" xfId="0" applyBorder="1"/>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0" xfId="0" applyFont="1" applyBorder="1" applyAlignment="1">
      <alignment wrapText="1"/>
    </xf>
    <xf numFmtId="0" fontId="16" fillId="0" borderId="5" xfId="0" applyFont="1" applyBorder="1" applyAlignment="1">
      <alignment horizontal="left" vertical="center" wrapText="1"/>
    </xf>
    <xf numFmtId="0" fontId="16" fillId="0" borderId="22" xfId="0" applyFont="1" applyBorder="1" applyAlignment="1">
      <alignment wrapText="1"/>
    </xf>
    <xf numFmtId="0" fontId="33" fillId="20" borderId="1" xfId="0" applyFont="1" applyFill="1" applyBorder="1" applyAlignment="1">
      <alignment horizontal="center"/>
    </xf>
    <xf numFmtId="0" fontId="17" fillId="0" borderId="1" xfId="0" applyFont="1" applyBorder="1" applyAlignment="1">
      <alignment horizontal="left" vertical="center"/>
    </xf>
    <xf numFmtId="0" fontId="34"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4" fillId="0" borderId="1" xfId="5" applyFont="1" applyBorder="1" applyAlignment="1">
      <alignment horizontal="center" vertical="center"/>
    </xf>
    <xf numFmtId="0" fontId="34" fillId="0" borderId="1" xfId="5" quotePrefix="1" applyFont="1" applyBorder="1" applyAlignment="1">
      <alignment horizontal="center" vertical="center"/>
    </xf>
    <xf numFmtId="0" fontId="17" fillId="0" borderId="1" xfId="0" applyFont="1" applyBorder="1" applyAlignment="1">
      <alignment vertical="center" wrapText="1"/>
    </xf>
    <xf numFmtId="0" fontId="34" fillId="0" borderId="1" xfId="5" quotePrefix="1" applyFont="1" applyBorder="1"/>
    <xf numFmtId="0" fontId="35" fillId="0" borderId="0" xfId="0" applyFont="1"/>
    <xf numFmtId="0" fontId="35" fillId="0" borderId="0" xfId="0" applyFont="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4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16" fillId="7" borderId="0" xfId="0" applyFont="1" applyFill="1"/>
    <xf numFmtId="9" fontId="16" fillId="7" borderId="0" xfId="2" applyFont="1" applyFill="1"/>
    <xf numFmtId="0" fontId="16" fillId="0" borderId="13" xfId="0" applyFont="1" applyBorder="1"/>
    <xf numFmtId="0" fontId="16" fillId="0" borderId="14" xfId="0" applyFont="1" applyBorder="1"/>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16" fillId="11" borderId="19" xfId="11" applyFont="1" applyFill="1" applyBorder="1" applyAlignment="1">
      <alignment horizontal="center" vertical="center"/>
    </xf>
    <xf numFmtId="0" fontId="16" fillId="11" borderId="20" xfId="11" applyFont="1" applyFill="1" applyBorder="1" applyAlignment="1">
      <alignment horizontal="center" vertical="center" wrapText="1"/>
    </xf>
    <xf numFmtId="0" fontId="43" fillId="0" borderId="20" xfId="0" applyFont="1" applyBorder="1" applyAlignment="1">
      <alignment horizontal="center" vertical="center" wrapText="1"/>
    </xf>
    <xf numFmtId="0" fontId="42" fillId="0" borderId="5" xfId="12" applyFont="1" applyFill="1" applyBorder="1"/>
    <xf numFmtId="0" fontId="42" fillId="0" borderId="5" xfId="12" applyFont="1" applyFill="1" applyBorder="1" applyAlignment="1">
      <alignment horizontal="center"/>
    </xf>
    <xf numFmtId="0" fontId="44" fillId="24" borderId="5" xfId="0" applyFont="1" applyFill="1" applyBorder="1" applyAlignment="1">
      <alignment horizontal="center" vertical="center" wrapText="1"/>
    </xf>
    <xf numFmtId="0" fontId="35" fillId="0" borderId="1" xfId="0" applyFont="1" applyBorder="1"/>
    <xf numFmtId="0" fontId="35" fillId="7" borderId="0" xfId="0" applyFont="1" applyFill="1"/>
    <xf numFmtId="0" fontId="36" fillId="7" borderId="0" xfId="0" applyFont="1" applyFill="1" applyAlignment="1">
      <alignment horizontal="center"/>
    </xf>
    <xf numFmtId="0" fontId="35" fillId="7" borderId="0" xfId="0" applyFont="1" applyFill="1" applyAlignment="1">
      <alignment horizontal="center"/>
    </xf>
    <xf numFmtId="0" fontId="36" fillId="7" borderId="0" xfId="0" applyFont="1" applyFill="1"/>
    <xf numFmtId="0" fontId="46" fillId="11" borderId="1" xfId="0" applyFont="1" applyFill="1" applyBorder="1" applyAlignment="1">
      <alignment horizontal="center"/>
    </xf>
    <xf numFmtId="0" fontId="47" fillId="0" borderId="1" xfId="0" applyFont="1" applyBorder="1" applyAlignment="1">
      <alignment horizontal="center"/>
    </xf>
    <xf numFmtId="0" fontId="35" fillId="0" borderId="50" xfId="0" applyFont="1" applyBorder="1"/>
    <xf numFmtId="0" fontId="47" fillId="0" borderId="1" xfId="0" applyFont="1" applyBorder="1"/>
    <xf numFmtId="0" fontId="46" fillId="11" borderId="1" xfId="0" applyFont="1" applyFill="1" applyBorder="1"/>
    <xf numFmtId="0" fontId="46" fillId="0" borderId="0" xfId="0" applyFont="1"/>
    <xf numFmtId="0" fontId="13" fillId="7" borderId="0" xfId="5" applyFill="1"/>
    <xf numFmtId="0" fontId="35" fillId="0" borderId="51" xfId="0" applyFont="1" applyBorder="1" applyAlignment="1">
      <alignment horizontal="center"/>
    </xf>
    <xf numFmtId="0" fontId="17" fillId="7" borderId="0" xfId="0" applyFont="1" applyFill="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center" vertical="center" wrapText="1"/>
    </xf>
    <xf numFmtId="0" fontId="46" fillId="22"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7" fillId="0" borderId="0" xfId="0" applyFont="1"/>
    <xf numFmtId="0" fontId="16" fillId="20" borderId="1" xfId="0" applyFont="1" applyFill="1" applyBorder="1" applyAlignment="1">
      <alignment horizontal="center"/>
    </xf>
    <xf numFmtId="9" fontId="33" fillId="20" borderId="1" xfId="0" applyNumberFormat="1" applyFont="1" applyFill="1" applyBorder="1" applyAlignment="1">
      <alignment horizontal="center" wrapText="1"/>
    </xf>
    <xf numFmtId="9" fontId="33" fillId="23" borderId="1" xfId="0" applyNumberFormat="1" applyFont="1" applyFill="1" applyBorder="1" applyAlignment="1">
      <alignment horizontal="center" wrapText="1"/>
    </xf>
    <xf numFmtId="10" fontId="33"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7" fillId="22" borderId="1" xfId="0" applyFont="1" applyFill="1" applyBorder="1" applyAlignment="1">
      <alignment horizontal="center"/>
    </xf>
    <xf numFmtId="167" fontId="47" fillId="0" borderId="1" xfId="0" applyNumberFormat="1" applyFont="1" applyBorder="1" applyAlignment="1">
      <alignment horizontal="center"/>
    </xf>
    <xf numFmtId="167" fontId="47" fillId="0" borderId="1" xfId="0" applyNumberFormat="1" applyFont="1" applyBorder="1" applyAlignment="1">
      <alignment horizontal="center" wrapText="1"/>
    </xf>
    <xf numFmtId="1" fontId="47" fillId="17" borderId="1" xfId="0" applyNumberFormat="1" applyFont="1" applyFill="1" applyBorder="1" applyAlignment="1">
      <alignment horizontal="center" wrapText="1"/>
    </xf>
    <xf numFmtId="1" fontId="47" fillId="0" borderId="1" xfId="0" applyNumberFormat="1" applyFont="1" applyBorder="1" applyAlignment="1">
      <alignment horizontal="center" wrapText="1"/>
    </xf>
    <xf numFmtId="0" fontId="47" fillId="0" borderId="42" xfId="0" applyFont="1" applyBorder="1"/>
    <xf numFmtId="0" fontId="47" fillId="0" borderId="43" xfId="0" applyFont="1" applyBorder="1"/>
    <xf numFmtId="0" fontId="46" fillId="0" borderId="12" xfId="0" applyFont="1" applyBorder="1"/>
    <xf numFmtId="1" fontId="46" fillId="0" borderId="1" xfId="0" applyNumberFormat="1" applyFont="1" applyBorder="1" applyAlignment="1">
      <alignment horizontal="center"/>
    </xf>
    <xf numFmtId="0" fontId="47" fillId="7" borderId="0" xfId="0" applyFont="1" applyFill="1"/>
    <xf numFmtId="1" fontId="35" fillId="0" borderId="1" xfId="0" applyNumberFormat="1" applyFont="1" applyBorder="1"/>
    <xf numFmtId="0" fontId="46" fillId="11" borderId="1" xfId="0" applyFont="1" applyFill="1" applyBorder="1" applyAlignment="1">
      <alignment wrapText="1"/>
    </xf>
    <xf numFmtId="0" fontId="17" fillId="26" borderId="32" xfId="0" applyFont="1" applyFill="1" applyBorder="1"/>
    <xf numFmtId="0" fontId="17" fillId="26" borderId="33" xfId="0" applyFont="1" applyFill="1" applyBorder="1"/>
    <xf numFmtId="0" fontId="17" fillId="26" borderId="34" xfId="0" applyFont="1" applyFill="1" applyBorder="1"/>
    <xf numFmtId="0" fontId="17" fillId="26" borderId="7" xfId="0" applyFont="1" applyFill="1" applyBorder="1"/>
    <xf numFmtId="0" fontId="17" fillId="26" borderId="4" xfId="0" applyFont="1" applyFill="1" applyBorder="1"/>
    <xf numFmtId="0" fontId="17" fillId="26" borderId="8" xfId="0" applyFont="1" applyFill="1" applyBorder="1"/>
    <xf numFmtId="0" fontId="17" fillId="0" borderId="13" xfId="0" applyFont="1" applyBorder="1"/>
    <xf numFmtId="0" fontId="16" fillId="7" borderId="1" xfId="0" applyFont="1" applyFill="1" applyBorder="1" applyAlignment="1">
      <alignment wrapText="1"/>
    </xf>
    <xf numFmtId="0" fontId="43" fillId="0" borderId="42" xfId="0" applyFont="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0" fillId="0" borderId="20" xfId="0" applyFont="1" applyBorder="1" applyAlignment="1">
      <alignment horizontal="center"/>
    </xf>
    <xf numFmtId="0" fontId="46" fillId="11" borderId="19" xfId="0" applyFont="1" applyFill="1" applyBorder="1" applyAlignment="1">
      <alignment wrapText="1"/>
    </xf>
    <xf numFmtId="0" fontId="35" fillId="7" borderId="20" xfId="0" applyFont="1" applyFill="1" applyBorder="1"/>
    <xf numFmtId="1" fontId="35" fillId="7" borderId="20" xfId="0" applyNumberFormat="1" applyFont="1" applyFill="1" applyBorder="1"/>
    <xf numFmtId="0" fontId="46" fillId="11" borderId="21" xfId="0" applyFont="1" applyFill="1" applyBorder="1" applyAlignment="1">
      <alignment wrapText="1"/>
    </xf>
    <xf numFmtId="0" fontId="49" fillId="14" borderId="8" xfId="13" applyFont="1" applyBorder="1" applyAlignment="1">
      <alignment horizontal="center"/>
    </xf>
    <xf numFmtId="0" fontId="50" fillId="0" borderId="13" xfId="5" applyFont="1" applyFill="1" applyBorder="1"/>
    <xf numFmtId="0" fontId="16" fillId="7" borderId="0" xfId="0" applyFont="1" applyFill="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9" xfId="0" applyFont="1" applyFill="1" applyBorder="1" applyAlignment="1">
      <alignment horizontal="center" vertical="center" wrapText="1"/>
    </xf>
    <xf numFmtId="0" fontId="16" fillId="0" borderId="9" xfId="0" applyFont="1" applyBorder="1" applyAlignment="1">
      <alignment vertical="center" wrapText="1"/>
    </xf>
    <xf numFmtId="0" fontId="12" fillId="18" borderId="0" xfId="0" applyFont="1" applyFill="1" applyAlignment="1">
      <alignment vertical="center"/>
    </xf>
    <xf numFmtId="0" fontId="13" fillId="18" borderId="0" xfId="5" applyFill="1" applyBorder="1" applyAlignment="1">
      <alignment vertical="center"/>
    </xf>
    <xf numFmtId="0" fontId="29" fillId="0" borderId="0" xfId="14" applyFont="1"/>
    <xf numFmtId="0" fontId="52" fillId="29" borderId="73" xfId="14" applyFont="1" applyFill="1" applyBorder="1" applyAlignment="1">
      <alignment horizontal="center"/>
    </xf>
    <xf numFmtId="9" fontId="29" fillId="0" borderId="83" xfId="14" applyNumberFormat="1" applyFont="1" applyBorder="1"/>
    <xf numFmtId="0" fontId="10" fillId="0" borderId="17"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5" xfId="0" applyBorder="1" applyAlignment="1">
      <alignment wrapText="1"/>
    </xf>
    <xf numFmtId="0" fontId="0" fillId="0" borderId="49" xfId="0" applyBorder="1"/>
    <xf numFmtId="0" fontId="0" fillId="0" borderId="20" xfId="0" applyBorder="1"/>
    <xf numFmtId="0" fontId="55" fillId="35" borderId="20" xfId="14" applyFont="1" applyFill="1" applyBorder="1" applyAlignment="1">
      <alignment horizontal="center"/>
    </xf>
    <xf numFmtId="0" fontId="0" fillId="0" borderId="12" xfId="0" applyBorder="1" applyAlignment="1">
      <alignment wrapText="1"/>
    </xf>
    <xf numFmtId="0" fontId="0" fillId="0" borderId="1" xfId="0" applyBorder="1" applyAlignment="1">
      <alignment wrapText="1"/>
    </xf>
    <xf numFmtId="0" fontId="43" fillId="30" borderId="56" xfId="14" applyFont="1" applyFill="1" applyBorder="1"/>
    <xf numFmtId="0" fontId="29" fillId="0" borderId="0" xfId="14" applyFont="1" applyAlignment="1">
      <alignment wrapText="1"/>
    </xf>
    <xf numFmtId="0" fontId="0" fillId="0" borderId="41" xfId="0" applyBorder="1" applyAlignment="1">
      <alignment wrapText="1"/>
    </xf>
    <xf numFmtId="0" fontId="10" fillId="0" borderId="1" xfId="0" applyFont="1" applyBorder="1"/>
    <xf numFmtId="0" fontId="10" fillId="0" borderId="1" xfId="0" applyFont="1" applyBorder="1" applyAlignment="1">
      <alignment horizontal="center"/>
    </xf>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14" fontId="0" fillId="0" borderId="1" xfId="0" applyNumberFormat="1" applyBorder="1"/>
    <xf numFmtId="0" fontId="13" fillId="0" borderId="1" xfId="5" applyBorder="1" applyAlignment="1">
      <alignment horizontal="left" vertical="center"/>
    </xf>
    <xf numFmtId="0" fontId="13" fillId="0" borderId="1" xfId="5" applyBorder="1" applyAlignment="1">
      <alignment horizontal="left" vertical="center" wrapText="1"/>
    </xf>
    <xf numFmtId="0" fontId="16" fillId="0" borderId="5" xfId="0" applyFont="1" applyBorder="1" applyAlignment="1">
      <alignment horizontal="center" vertical="center" wrapText="1"/>
    </xf>
    <xf numFmtId="0" fontId="43" fillId="0" borderId="19"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pplyAlignment="1">
      <alignment vertical="center" wrapText="1"/>
    </xf>
    <xf numFmtId="0" fontId="43" fillId="0" borderId="1" xfId="0" applyFont="1" applyBorder="1" applyAlignment="1">
      <alignment horizontal="center" vertical="center"/>
    </xf>
    <xf numFmtId="9" fontId="29" fillId="0" borderId="83" xfId="14" applyNumberFormat="1" applyFont="1" applyBorder="1" applyAlignment="1">
      <alignment vertical="center"/>
    </xf>
    <xf numFmtId="0" fontId="21" fillId="0" borderId="0" xfId="0" applyFont="1" applyAlignment="1">
      <alignment horizontal="center" vertical="top" wrapText="1"/>
    </xf>
    <xf numFmtId="14" fontId="16" fillId="0" borderId="1" xfId="0" applyNumberFormat="1" applyFont="1" applyBorder="1" applyAlignment="1">
      <alignment horizontal="center" vertical="center"/>
    </xf>
    <xf numFmtId="0" fontId="0" fillId="0" borderId="0" xfId="0" applyAlignment="1">
      <alignment horizontal="center"/>
    </xf>
    <xf numFmtId="0" fontId="16" fillId="7" borderId="0" xfId="0" applyFont="1" applyFill="1" applyAlignment="1">
      <alignment horizontal="center" wrapText="1"/>
    </xf>
    <xf numFmtId="0" fontId="16" fillId="7" borderId="0" xfId="0" applyFont="1" applyFill="1" applyAlignment="1">
      <alignment horizontal="center"/>
    </xf>
    <xf numFmtId="0" fontId="16" fillId="0" borderId="1" xfId="0" applyFont="1" applyBorder="1" applyAlignment="1">
      <alignment horizontal="center" vertical="center" wrapText="1"/>
    </xf>
    <xf numFmtId="0" fontId="13" fillId="0" borderId="1" xfId="5" applyBorder="1" applyAlignment="1">
      <alignment vertical="center" wrapText="1"/>
    </xf>
    <xf numFmtId="14" fontId="16" fillId="0" borderId="1" xfId="0" applyNumberFormat="1" applyFont="1" applyBorder="1" applyAlignment="1">
      <alignment horizontal="center" vertical="center" wrapText="1"/>
    </xf>
    <xf numFmtId="9" fontId="29" fillId="0" borderId="26" xfId="14" applyNumberFormat="1" applyFont="1" applyBorder="1" applyAlignment="1">
      <alignment vertical="center"/>
    </xf>
    <xf numFmtId="9" fontId="29" fillId="0" borderId="27" xfId="14" applyNumberFormat="1" applyFont="1" applyBorder="1" applyAlignment="1">
      <alignment vertical="center"/>
    </xf>
    <xf numFmtId="9" fontId="29" fillId="0" borderId="28" xfId="14" applyNumberFormat="1" applyFont="1" applyBorder="1" applyAlignment="1">
      <alignment vertical="center"/>
    </xf>
    <xf numFmtId="0" fontId="55" fillId="35" borderId="90" xfId="14" applyFont="1" applyFill="1" applyBorder="1" applyAlignment="1">
      <alignment horizontal="center" vertical="center"/>
    </xf>
    <xf numFmtId="9" fontId="29" fillId="0" borderId="91" xfId="14" applyNumberFormat="1" applyFont="1" applyBorder="1" applyAlignment="1">
      <alignment vertical="center"/>
    </xf>
    <xf numFmtId="14" fontId="29" fillId="0" borderId="3" xfId="14" applyNumberFormat="1" applyFont="1" applyBorder="1" applyAlignment="1">
      <alignment vertical="center"/>
    </xf>
    <xf numFmtId="1" fontId="53" fillId="35" borderId="3" xfId="14" applyNumberFormat="1" applyFont="1" applyFill="1" applyBorder="1" applyAlignment="1">
      <alignment horizontal="center" vertical="center"/>
    </xf>
    <xf numFmtId="9" fontId="29" fillId="0" borderId="92" xfId="14" applyNumberFormat="1" applyFont="1" applyBorder="1" applyAlignment="1">
      <alignment vertical="center"/>
    </xf>
    <xf numFmtId="0" fontId="53" fillId="31" borderId="77" xfId="14" applyFont="1" applyFill="1" applyBorder="1" applyAlignment="1">
      <alignment horizontal="center" vertical="center"/>
    </xf>
    <xf numFmtId="0" fontId="53" fillId="32" borderId="77" xfId="14" applyFont="1" applyFill="1" applyBorder="1" applyAlignment="1">
      <alignment horizontal="center" vertical="center"/>
    </xf>
    <xf numFmtId="0" fontId="53" fillId="33" borderId="77" xfId="14" applyFont="1" applyFill="1" applyBorder="1" applyAlignment="1">
      <alignment horizontal="center" vertical="center"/>
    </xf>
    <xf numFmtId="0" fontId="53" fillId="34" borderId="0" xfId="14" applyFont="1" applyFill="1" applyAlignment="1">
      <alignment horizontal="center" vertical="center"/>
    </xf>
    <xf numFmtId="0" fontId="54" fillId="29" borderId="93" xfId="14" applyFont="1" applyFill="1" applyBorder="1" applyAlignment="1">
      <alignment horizontal="center" vertical="center"/>
    </xf>
    <xf numFmtId="0" fontId="29" fillId="0" borderId="90" xfId="14" applyFont="1" applyBorder="1" applyAlignment="1">
      <alignment horizontal="center" vertical="center"/>
    </xf>
    <xf numFmtId="0" fontId="29" fillId="0" borderId="94" xfId="14" applyFont="1" applyBorder="1" applyAlignment="1">
      <alignment horizontal="center" vertical="center"/>
    </xf>
    <xf numFmtId="0" fontId="55" fillId="35" borderId="95" xfId="14" applyFont="1" applyFill="1" applyBorder="1" applyAlignment="1">
      <alignment horizontal="center" vertical="center"/>
    </xf>
    <xf numFmtId="0" fontId="29" fillId="0" borderId="94" xfId="14" applyFont="1" applyBorder="1" applyAlignment="1">
      <alignment vertical="center"/>
    </xf>
    <xf numFmtId="9" fontId="29" fillId="0" borderId="96" xfId="14" applyNumberFormat="1" applyFont="1" applyBorder="1" applyAlignment="1">
      <alignment vertical="center"/>
    </xf>
    <xf numFmtId="0" fontId="29" fillId="0" borderId="97" xfId="14" applyFont="1" applyBorder="1" applyAlignment="1">
      <alignment vertical="center"/>
    </xf>
    <xf numFmtId="9" fontId="29" fillId="0" borderId="95" xfId="14" applyNumberFormat="1" applyFont="1" applyBorder="1" applyAlignment="1">
      <alignment vertical="center"/>
    </xf>
    <xf numFmtId="9" fontId="53" fillId="35" borderId="36" xfId="14" applyNumberFormat="1" applyFont="1" applyFill="1" applyBorder="1" applyAlignment="1">
      <alignment horizontal="center" vertical="center"/>
    </xf>
    <xf numFmtId="0" fontId="29" fillId="0" borderId="3" xfId="14" applyFont="1" applyBorder="1" applyAlignment="1">
      <alignment vertical="center"/>
    </xf>
    <xf numFmtId="0" fontId="52" fillId="0" borderId="82" xfId="14" applyFont="1" applyBorder="1"/>
    <xf numFmtId="9" fontId="0" fillId="0" borderId="87" xfId="2" applyFont="1" applyBorder="1"/>
    <xf numFmtId="9" fontId="0" fillId="0" borderId="42" xfId="2" applyFont="1" applyBorder="1"/>
    <xf numFmtId="0" fontId="6" fillId="2" borderId="84" xfId="3" applyFont="1" applyFill="1" applyBorder="1" applyAlignment="1">
      <alignment horizontal="center" vertical="center"/>
    </xf>
    <xf numFmtId="0" fontId="6" fillId="3" borderId="84" xfId="3" applyFont="1" applyFill="1" applyBorder="1" applyAlignment="1">
      <alignment horizontal="center" vertical="center"/>
    </xf>
    <xf numFmtId="0" fontId="6" fillId="4" borderId="84" xfId="3" applyFont="1" applyFill="1" applyBorder="1" applyAlignment="1">
      <alignment horizontal="center" vertical="center"/>
    </xf>
    <xf numFmtId="0" fontId="6" fillId="5" borderId="0" xfId="3" applyFont="1" applyFill="1" applyAlignment="1">
      <alignment horizontal="center" vertical="center"/>
    </xf>
    <xf numFmtId="0" fontId="7" fillId="9" borderId="32" xfId="3" applyFont="1" applyFill="1" applyBorder="1" applyAlignment="1">
      <alignment horizontal="center" vertical="center"/>
    </xf>
    <xf numFmtId="0" fontId="0" fillId="0" borderId="38" xfId="0" applyBorder="1" applyAlignment="1">
      <alignment horizontal="justify"/>
    </xf>
    <xf numFmtId="0" fontId="8" fillId="6" borderId="18" xfId="3" applyFont="1" applyFill="1" applyBorder="1" applyAlignment="1">
      <alignment horizontal="center"/>
    </xf>
    <xf numFmtId="0" fontId="8" fillId="6" borderId="20" xfId="3" applyFont="1" applyFill="1" applyBorder="1" applyAlignment="1">
      <alignment horizontal="center"/>
    </xf>
    <xf numFmtId="0" fontId="8" fillId="6" borderId="16" xfId="3" applyFont="1" applyFill="1" applyBorder="1" applyAlignment="1">
      <alignment horizontal="center"/>
    </xf>
    <xf numFmtId="0" fontId="8" fillId="6" borderId="19" xfId="3" applyFont="1" applyFill="1" applyBorder="1" applyAlignment="1">
      <alignment horizontal="center"/>
    </xf>
    <xf numFmtId="9" fontId="0" fillId="0" borderId="30" xfId="2" applyFont="1" applyBorder="1"/>
    <xf numFmtId="9" fontId="0" fillId="0" borderId="43" xfId="2" applyFont="1" applyBorder="1"/>
    <xf numFmtId="9" fontId="2" fillId="7" borderId="24" xfId="2" applyFont="1" applyFill="1" applyBorder="1" applyAlignment="1">
      <alignment horizontal="center"/>
    </xf>
    <xf numFmtId="9" fontId="2" fillId="7" borderId="25" xfId="2" applyFont="1" applyFill="1" applyBorder="1" applyAlignment="1">
      <alignment horizontal="center"/>
    </xf>
    <xf numFmtId="1" fontId="2" fillId="7" borderId="24" xfId="1" applyNumberFormat="1" applyFont="1" applyFill="1" applyBorder="1" applyAlignment="1">
      <alignment horizontal="center"/>
    </xf>
    <xf numFmtId="1" fontId="2" fillId="7" borderId="25" xfId="1" applyNumberFormat="1" applyFont="1" applyFill="1" applyBorder="1" applyAlignment="1">
      <alignment horizontal="center"/>
    </xf>
    <xf numFmtId="14" fontId="0" fillId="0" borderId="24" xfId="0" applyNumberFormat="1" applyBorder="1"/>
    <xf numFmtId="14" fontId="0" fillId="0" borderId="25" xfId="0" applyNumberFormat="1" applyBorder="1"/>
    <xf numFmtId="0" fontId="43" fillId="20" borderId="1" xfId="0" applyFont="1" applyFill="1" applyBorder="1" applyAlignment="1">
      <alignment vertical="center" wrapText="1"/>
    </xf>
    <xf numFmtId="0" fontId="43" fillId="17" borderId="1" xfId="0" applyFont="1" applyFill="1" applyBorder="1" applyAlignment="1">
      <alignment vertical="center" wrapText="1"/>
    </xf>
    <xf numFmtId="0" fontId="43" fillId="39" borderId="1" xfId="0" applyFont="1" applyFill="1" applyBorder="1" applyAlignment="1">
      <alignment vertical="center" wrapText="1"/>
    </xf>
    <xf numFmtId="0" fontId="43" fillId="40" borderId="1" xfId="0" applyFont="1" applyFill="1" applyBorder="1" applyAlignment="1">
      <alignment vertical="center" wrapText="1"/>
    </xf>
    <xf numFmtId="0" fontId="43" fillId="36" borderId="1" xfId="0" applyFont="1" applyFill="1" applyBorder="1" applyAlignment="1">
      <alignment vertical="center" wrapText="1"/>
    </xf>
    <xf numFmtId="0" fontId="63" fillId="0" borderId="0" xfId="0" applyFont="1"/>
    <xf numFmtId="9" fontId="63" fillId="0" borderId="0" xfId="0" applyNumberFormat="1" applyFont="1"/>
    <xf numFmtId="0" fontId="29" fillId="0" borderId="3" xfId="14" applyFont="1" applyBorder="1" applyAlignment="1">
      <alignment horizontal="justify" vertical="center"/>
    </xf>
    <xf numFmtId="166" fontId="22" fillId="0" borderId="0" xfId="0" applyNumberFormat="1" applyFont="1" applyAlignment="1">
      <alignment horizontal="center" vertical="center" wrapText="1"/>
    </xf>
    <xf numFmtId="0" fontId="21" fillId="0" borderId="0" xfId="0" applyFont="1" applyAlignment="1">
      <alignment horizontal="left" vertical="top" wrapText="1"/>
    </xf>
    <xf numFmtId="0" fontId="24" fillId="0" borderId="0" xfId="0" applyFont="1" applyAlignment="1">
      <alignment horizontal="left" vertical="center" wrapText="1"/>
    </xf>
    <xf numFmtId="0" fontId="23" fillId="3" borderId="3" xfId="0" applyFont="1" applyFill="1" applyBorder="1" applyAlignment="1">
      <alignment horizontal="left" vertical="top" wrapText="1"/>
    </xf>
    <xf numFmtId="0" fontId="21" fillId="0" borderId="3" xfId="0" applyFont="1" applyBorder="1" applyAlignment="1">
      <alignment horizontal="left" vertical="top" wrapText="1"/>
    </xf>
    <xf numFmtId="0" fontId="59" fillId="0" borderId="42" xfId="0" applyFont="1" applyBorder="1" applyAlignment="1">
      <alignment horizontal="center" vertical="center" wrapText="1"/>
    </xf>
    <xf numFmtId="0" fontId="13" fillId="0" borderId="1" xfId="5" applyFill="1" applyBorder="1" applyAlignment="1">
      <alignment horizontal="left" vertical="center" wrapText="1"/>
    </xf>
    <xf numFmtId="0" fontId="64" fillId="0" borderId="1" xfId="0" applyFont="1" applyBorder="1" applyAlignment="1">
      <alignment horizontal="left" vertical="center" wrapText="1"/>
    </xf>
    <xf numFmtId="0" fontId="64" fillId="0" borderId="19" xfId="0" applyFont="1" applyBorder="1" applyAlignment="1">
      <alignment horizontal="center" vertical="center"/>
    </xf>
    <xf numFmtId="0" fontId="64" fillId="0" borderId="1" xfId="0" applyFont="1" applyBorder="1" applyAlignment="1">
      <alignment horizontal="center" vertical="center"/>
    </xf>
    <xf numFmtId="0" fontId="64" fillId="0" borderId="42" xfId="0" applyFont="1" applyBorder="1" applyAlignment="1">
      <alignment horizontal="center" vertical="center"/>
    </xf>
    <xf numFmtId="0" fontId="64" fillId="0" borderId="1" xfId="0" applyFont="1" applyBorder="1" applyAlignment="1">
      <alignment horizontal="left" vertical="top"/>
    </xf>
    <xf numFmtId="0" fontId="64" fillId="0" borderId="20" xfId="0" applyFont="1" applyBorder="1" applyAlignment="1">
      <alignment horizontal="left" vertical="top"/>
    </xf>
    <xf numFmtId="0" fontId="64" fillId="0" borderId="1" xfId="0" applyFont="1" applyBorder="1" applyAlignment="1">
      <alignment horizontal="center" vertical="center" wrapText="1"/>
    </xf>
    <xf numFmtId="0" fontId="64" fillId="0" borderId="19" xfId="0" applyFont="1" applyBorder="1" applyAlignment="1">
      <alignment horizontal="left" vertical="top"/>
    </xf>
    <xf numFmtId="0" fontId="64" fillId="0" borderId="31" xfId="0" applyFont="1" applyBorder="1" applyAlignment="1">
      <alignment horizontal="center" vertical="center"/>
    </xf>
    <xf numFmtId="0" fontId="64" fillId="0" borderId="9" xfId="0" applyFont="1" applyBorder="1" applyAlignment="1">
      <alignment horizontal="center" vertical="center"/>
    </xf>
    <xf numFmtId="0" fontId="64" fillId="0" borderId="86" xfId="0" applyFont="1" applyBorder="1" applyAlignment="1">
      <alignment horizontal="center" vertical="center"/>
    </xf>
    <xf numFmtId="0" fontId="64" fillId="0" borderId="31" xfId="0" applyFont="1" applyBorder="1" applyAlignment="1">
      <alignment horizontal="left" vertical="top"/>
    </xf>
    <xf numFmtId="0" fontId="64" fillId="0" borderId="9" xfId="0" applyFont="1" applyBorder="1" applyAlignment="1">
      <alignment horizontal="left" vertical="top"/>
    </xf>
    <xf numFmtId="0" fontId="64" fillId="0" borderId="39" xfId="0" applyFont="1" applyBorder="1" applyAlignment="1">
      <alignment horizontal="left" vertical="top"/>
    </xf>
    <xf numFmtId="0" fontId="64" fillId="0" borderId="19" xfId="0" applyFont="1" applyBorder="1" applyAlignment="1">
      <alignment horizontal="center" vertical="center" wrapText="1"/>
    </xf>
    <xf numFmtId="14" fontId="64" fillId="0" borderId="19" xfId="0" applyNumberFormat="1" applyFont="1" applyBorder="1" applyAlignment="1">
      <alignment horizontal="left" vertical="top"/>
    </xf>
    <xf numFmtId="166" fontId="65" fillId="0" borderId="19" xfId="0" applyNumberFormat="1" applyFont="1" applyBorder="1" applyAlignment="1">
      <alignment horizontal="center" vertical="center" wrapText="1"/>
    </xf>
    <xf numFmtId="166" fontId="65" fillId="0" borderId="1" xfId="0" applyNumberFormat="1" applyFont="1" applyBorder="1" applyAlignment="1">
      <alignment horizontal="center" vertical="center" wrapText="1"/>
    </xf>
    <xf numFmtId="0" fontId="64" fillId="0" borderId="42" xfId="0" applyFont="1" applyBorder="1" applyAlignment="1">
      <alignment horizontal="left" vertical="top"/>
    </xf>
    <xf numFmtId="0" fontId="64" fillId="0" borderId="9" xfId="0" applyFont="1" applyBorder="1" applyAlignment="1">
      <alignment horizontal="justify" vertical="center" wrapText="1"/>
    </xf>
    <xf numFmtId="0" fontId="64" fillId="0" borderId="20" xfId="0" applyFont="1" applyBorder="1" applyAlignment="1">
      <alignment horizontal="center" vertical="center"/>
    </xf>
    <xf numFmtId="0" fontId="29" fillId="0" borderId="3" xfId="14" applyFont="1" applyBorder="1" applyAlignment="1">
      <alignment vertical="center" wrapText="1"/>
    </xf>
    <xf numFmtId="0" fontId="64" fillId="0" borderId="12" xfId="0" applyFont="1" applyBorder="1" applyAlignment="1">
      <alignment horizontal="left" vertical="center" wrapText="1"/>
    </xf>
    <xf numFmtId="0" fontId="23" fillId="39" borderId="3" xfId="0" applyFont="1" applyFill="1" applyBorder="1" applyAlignment="1">
      <alignment horizontal="left" vertical="top" wrapText="1"/>
    </xf>
    <xf numFmtId="0" fontId="23" fillId="2" borderId="3" xfId="0" applyFont="1" applyFill="1" applyBorder="1" applyAlignment="1">
      <alignment horizontal="left" vertical="top" wrapText="1"/>
    </xf>
    <xf numFmtId="0" fontId="21" fillId="7" borderId="0" xfId="0" applyFont="1" applyFill="1" applyAlignment="1">
      <alignment vertical="center"/>
    </xf>
    <xf numFmtId="0" fontId="21" fillId="0" borderId="1" xfId="0" applyFont="1" applyBorder="1" applyAlignment="1">
      <alignment horizontal="center" vertical="center"/>
    </xf>
    <xf numFmtId="0" fontId="68" fillId="0" borderId="0" xfId="0" applyFont="1" applyAlignment="1">
      <alignment horizontal="left" vertical="top" wrapText="1"/>
    </xf>
    <xf numFmtId="0" fontId="64" fillId="17" borderId="103" xfId="0" applyFont="1" applyFill="1" applyBorder="1" applyAlignment="1">
      <alignment horizontal="left" vertical="top"/>
    </xf>
    <xf numFmtId="0" fontId="65" fillId="0" borderId="12" xfId="0" applyFont="1" applyBorder="1" applyAlignment="1">
      <alignment horizontal="left" vertical="center"/>
    </xf>
    <xf numFmtId="0" fontId="65" fillId="0" borderId="1" xfId="0" applyFont="1" applyBorder="1" applyAlignment="1">
      <alignment horizontal="left" vertical="center" wrapText="1"/>
    </xf>
    <xf numFmtId="0" fontId="21" fillId="0" borderId="6" xfId="0" applyFont="1" applyBorder="1" applyAlignment="1">
      <alignment horizontal="center" vertical="center"/>
    </xf>
    <xf numFmtId="0" fontId="64" fillId="0" borderId="6" xfId="0" applyFont="1" applyBorder="1" applyAlignment="1">
      <alignment horizontal="left" vertical="top"/>
    </xf>
    <xf numFmtId="0" fontId="64" fillId="0" borderId="9" xfId="0" applyFont="1" applyBorder="1" applyAlignment="1">
      <alignment horizontal="left" vertical="center" wrapText="1"/>
    </xf>
    <xf numFmtId="0" fontId="13" fillId="0" borderId="5" xfId="5" applyBorder="1" applyAlignment="1">
      <alignment vertical="center" wrapText="1"/>
    </xf>
    <xf numFmtId="0" fontId="29" fillId="3" borderId="3" xfId="14" applyFont="1" applyFill="1" applyBorder="1" applyAlignment="1">
      <alignment vertical="center" wrapText="1"/>
    </xf>
    <xf numFmtId="0" fontId="29" fillId="3" borderId="90" xfId="14" applyFont="1" applyFill="1" applyBorder="1" applyAlignment="1">
      <alignment horizontal="center" vertical="center"/>
    </xf>
    <xf numFmtId="0" fontId="29" fillId="3" borderId="94" xfId="14" applyFont="1" applyFill="1" applyBorder="1" applyAlignment="1">
      <alignment horizontal="center" vertical="center"/>
    </xf>
    <xf numFmtId="0" fontId="55" fillId="42" borderId="95" xfId="14" applyFont="1" applyFill="1" applyBorder="1" applyAlignment="1">
      <alignment horizontal="center" vertical="center"/>
    </xf>
    <xf numFmtId="0" fontId="69" fillId="0" borderId="42" xfId="0" applyFont="1" applyBorder="1" applyAlignment="1">
      <alignment horizontal="center" vertical="center" wrapText="1"/>
    </xf>
    <xf numFmtId="0" fontId="64" fillId="0" borderId="1" xfId="0" applyFont="1" applyBorder="1" applyAlignment="1">
      <alignment horizontal="justify" vertical="center" wrapText="1"/>
    </xf>
    <xf numFmtId="0" fontId="64" fillId="0" borderId="12" xfId="0" applyFont="1" applyBorder="1" applyAlignment="1">
      <alignment horizontal="justify" vertical="center" wrapText="1"/>
    </xf>
    <xf numFmtId="0" fontId="64" fillId="0" borderId="1" xfId="0" applyFont="1" applyBorder="1" applyAlignment="1">
      <alignment horizontal="justify" vertical="top" wrapText="1"/>
    </xf>
    <xf numFmtId="0" fontId="65" fillId="0" borderId="12" xfId="0" applyFont="1" applyBorder="1" applyAlignment="1">
      <alignment horizontal="left" vertical="center" wrapText="1"/>
    </xf>
    <xf numFmtId="0" fontId="65" fillId="0" borderId="17" xfId="0" applyFont="1" applyBorder="1" applyAlignment="1">
      <alignment horizontal="left" vertical="top"/>
    </xf>
    <xf numFmtId="0" fontId="65" fillId="0" borderId="18" xfId="0" applyFont="1" applyBorder="1" applyAlignment="1">
      <alignment horizontal="left" vertical="top"/>
    </xf>
    <xf numFmtId="0" fontId="64" fillId="0" borderId="108" xfId="0" applyFont="1" applyBorder="1" applyAlignment="1">
      <alignment horizontal="left" vertical="top"/>
    </xf>
    <xf numFmtId="0" fontId="64" fillId="0" borderId="49" xfId="0" applyFont="1" applyBorder="1" applyAlignment="1">
      <alignment horizontal="left" vertical="top"/>
    </xf>
    <xf numFmtId="165" fontId="65" fillId="0" borderId="29" xfId="0" applyNumberFormat="1" applyFont="1" applyBorder="1" applyAlignment="1">
      <alignment horizontal="center" vertical="center" wrapText="1"/>
    </xf>
    <xf numFmtId="165" fontId="65" fillId="0" borderId="6" xfId="0" applyNumberFormat="1" applyFont="1" applyBorder="1" applyAlignment="1">
      <alignment horizontal="center" vertical="center" wrapText="1"/>
    </xf>
    <xf numFmtId="0" fontId="64" fillId="0" borderId="89" xfId="0" applyFont="1" applyBorder="1" applyAlignment="1">
      <alignment horizontal="center" vertical="center"/>
    </xf>
    <xf numFmtId="0" fontId="16" fillId="0" borderId="0" xfId="0" pivotButton="1" applyFont="1"/>
    <xf numFmtId="0" fontId="16" fillId="0" borderId="0" xfId="0" applyFont="1" applyAlignment="1">
      <alignment horizontal="left"/>
    </xf>
    <xf numFmtId="0" fontId="40" fillId="11" borderId="30" xfId="0" applyFont="1" applyFill="1" applyBorder="1" applyAlignment="1">
      <alignment horizontal="center" vertical="center" wrapText="1"/>
    </xf>
    <xf numFmtId="0" fontId="57" fillId="24" borderId="40" xfId="0" applyFont="1" applyFill="1" applyBorder="1" applyAlignment="1">
      <alignment horizontal="center" vertical="center" textRotation="90" wrapText="1"/>
    </xf>
    <xf numFmtId="0" fontId="57" fillId="24" borderId="0" xfId="0" applyFont="1" applyFill="1" applyAlignment="1">
      <alignment horizontal="center" vertical="center" textRotation="90" wrapText="1"/>
    </xf>
    <xf numFmtId="0" fontId="64" fillId="0" borderId="6" xfId="0" applyFont="1" applyBorder="1" applyAlignment="1">
      <alignment horizontal="justify" vertical="center" wrapText="1"/>
    </xf>
    <xf numFmtId="0" fontId="64" fillId="21" borderId="9" xfId="0" applyFont="1" applyFill="1" applyBorder="1" applyAlignment="1">
      <alignment horizontal="left" vertical="top"/>
    </xf>
    <xf numFmtId="0" fontId="64" fillId="21" borderId="1" xfId="0" applyFont="1" applyFill="1" applyBorder="1" applyAlignment="1">
      <alignment horizontal="left" vertical="top"/>
    </xf>
    <xf numFmtId="14" fontId="64" fillId="21" borderId="19" xfId="0" applyNumberFormat="1" applyFont="1" applyFill="1" applyBorder="1" applyAlignment="1">
      <alignment horizontal="left" vertical="top"/>
    </xf>
    <xf numFmtId="0" fontId="64" fillId="21" borderId="20" xfId="0" applyFont="1" applyFill="1" applyBorder="1" applyAlignment="1">
      <alignment horizontal="left" vertical="top"/>
    </xf>
    <xf numFmtId="0" fontId="64" fillId="21" borderId="6" xfId="0" applyFont="1" applyFill="1" applyBorder="1" applyAlignment="1">
      <alignment horizontal="left" vertical="top"/>
    </xf>
    <xf numFmtId="0" fontId="64" fillId="21" borderId="49" xfId="0" applyFont="1" applyFill="1" applyBorder="1" applyAlignment="1">
      <alignment horizontal="left" vertical="top"/>
    </xf>
    <xf numFmtId="0" fontId="64" fillId="21" borderId="48" xfId="0" applyFont="1" applyFill="1" applyBorder="1" applyAlignment="1">
      <alignment horizontal="left" vertical="top"/>
    </xf>
    <xf numFmtId="0" fontId="64" fillId="21" borderId="42" xfId="0" applyFont="1" applyFill="1" applyBorder="1" applyAlignment="1">
      <alignment horizontal="left" vertical="top"/>
    </xf>
    <xf numFmtId="0" fontId="23" fillId="4" borderId="3" xfId="0" applyFont="1" applyFill="1" applyBorder="1" applyAlignment="1">
      <alignment horizontal="left" vertical="top" wrapText="1"/>
    </xf>
    <xf numFmtId="0" fontId="23" fillId="0" borderId="0" xfId="0" applyFont="1" applyAlignment="1">
      <alignment horizontal="left" vertical="top" wrapText="1"/>
    </xf>
    <xf numFmtId="0" fontId="43" fillId="0" borderId="88" xfId="0" applyFont="1" applyBorder="1"/>
    <xf numFmtId="0" fontId="43" fillId="0" borderId="9" xfId="0" applyFont="1" applyBorder="1"/>
    <xf numFmtId="0" fontId="43" fillId="0" borderId="9" xfId="0" applyFont="1" applyBorder="1" applyAlignment="1">
      <alignment horizontal="center"/>
    </xf>
    <xf numFmtId="0" fontId="43" fillId="0" borderId="9" xfId="0" applyFont="1" applyBorder="1" applyAlignment="1">
      <alignment horizontal="center" vertical="center" wrapText="1"/>
    </xf>
    <xf numFmtId="0" fontId="43" fillId="0" borderId="86" xfId="0" applyFont="1" applyBorder="1" applyAlignment="1">
      <alignment horizontal="center" vertical="center" wrapText="1"/>
    </xf>
    <xf numFmtId="0" fontId="43" fillId="3" borderId="1" xfId="0" applyFont="1" applyFill="1" applyBorder="1" applyAlignment="1">
      <alignment horizontal="center"/>
    </xf>
    <xf numFmtId="0" fontId="43" fillId="3" borderId="1" xfId="0" applyFont="1" applyFill="1" applyBorder="1" applyAlignment="1">
      <alignment horizontal="center" vertical="center"/>
    </xf>
    <xf numFmtId="0" fontId="43" fillId="0" borderId="0" xfId="0" applyFont="1" applyAlignment="1">
      <alignment horizontal="center"/>
    </xf>
    <xf numFmtId="0" fontId="43" fillId="3" borderId="0" xfId="0" applyFont="1" applyFill="1" applyAlignment="1">
      <alignment horizontal="center"/>
    </xf>
    <xf numFmtId="0" fontId="43" fillId="4" borderId="1" xfId="0" applyFont="1" applyFill="1" applyBorder="1" applyAlignment="1">
      <alignment horizontal="center" vertical="center"/>
    </xf>
    <xf numFmtId="0" fontId="43" fillId="3" borderId="1" xfId="0" applyFont="1" applyFill="1" applyBorder="1" applyAlignment="1">
      <alignment horizontal="center" vertical="center" wrapText="1"/>
    </xf>
    <xf numFmtId="1" fontId="35" fillId="0" borderId="20" xfId="0" applyNumberFormat="1" applyFont="1" applyBorder="1"/>
    <xf numFmtId="169" fontId="35" fillId="3" borderId="0" xfId="18" applyNumberFormat="1" applyFont="1" applyFill="1"/>
    <xf numFmtId="0" fontId="43" fillId="2" borderId="1" xfId="0" applyFont="1" applyFill="1" applyBorder="1" applyAlignment="1">
      <alignment horizontal="center" vertical="center"/>
    </xf>
    <xf numFmtId="0" fontId="43" fillId="2" borderId="1"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3" borderId="6" xfId="0" applyFont="1" applyFill="1" applyBorder="1" applyAlignment="1">
      <alignment horizontal="center" vertical="center" wrapText="1"/>
    </xf>
    <xf numFmtId="14" fontId="64" fillId="38" borderId="19" xfId="0" applyNumberFormat="1" applyFont="1" applyFill="1" applyBorder="1" applyAlignment="1">
      <alignment horizontal="left" vertical="top"/>
    </xf>
    <xf numFmtId="166" fontId="65" fillId="0" borderId="31" xfId="0" applyNumberFormat="1" applyFont="1" applyBorder="1" applyAlignment="1">
      <alignment horizontal="center" vertical="center" wrapText="1"/>
    </xf>
    <xf numFmtId="166" fontId="65" fillId="0" borderId="9" xfId="0" applyNumberFormat="1" applyFont="1" applyBorder="1" applyAlignment="1">
      <alignment horizontal="center" vertical="center" wrapText="1"/>
    </xf>
    <xf numFmtId="14" fontId="64" fillId="38" borderId="31" xfId="0" applyNumberFormat="1" applyFont="1" applyFill="1" applyBorder="1" applyAlignment="1">
      <alignment horizontal="left" vertical="top"/>
    </xf>
    <xf numFmtId="0" fontId="64" fillId="0" borderId="12" xfId="0" applyFont="1" applyBorder="1" applyAlignment="1">
      <alignment horizontal="justify" vertical="justify" wrapText="1"/>
    </xf>
    <xf numFmtId="0" fontId="64" fillId="0" borderId="1" xfId="0" applyFont="1" applyBorder="1" applyAlignment="1">
      <alignment horizontal="justify" vertical="justify" wrapText="1"/>
    </xf>
    <xf numFmtId="0" fontId="64" fillId="0" borderId="48" xfId="0" applyFont="1" applyBorder="1" applyAlignment="1">
      <alignment horizontal="center" vertical="center"/>
    </xf>
    <xf numFmtId="0" fontId="64" fillId="0" borderId="5" xfId="0" applyFont="1" applyBorder="1" applyAlignment="1">
      <alignment horizontal="left" vertical="top"/>
    </xf>
    <xf numFmtId="0" fontId="64" fillId="3" borderId="6" xfId="0" applyFont="1" applyFill="1" applyBorder="1" applyAlignment="1">
      <alignment horizontal="left" vertical="top"/>
    </xf>
    <xf numFmtId="0" fontId="21" fillId="0" borderId="1" xfId="0" applyFont="1" applyFill="1" applyBorder="1" applyAlignment="1">
      <alignment horizontal="center" vertical="center"/>
    </xf>
    <xf numFmtId="0" fontId="64" fillId="0" borderId="31" xfId="0" applyFont="1" applyFill="1" applyBorder="1" applyAlignment="1">
      <alignment horizontal="left" vertical="top"/>
    </xf>
    <xf numFmtId="0" fontId="64" fillId="0" borderId="9" xfId="0" applyFont="1" applyFill="1" applyBorder="1" applyAlignment="1">
      <alignment horizontal="left" vertical="top"/>
    </xf>
    <xf numFmtId="0" fontId="64" fillId="0" borderId="1" xfId="0" applyFont="1" applyFill="1" applyBorder="1" applyAlignment="1">
      <alignment horizontal="left" vertical="center" wrapText="1"/>
    </xf>
    <xf numFmtId="0" fontId="64" fillId="0" borderId="29" xfId="0" applyFont="1" applyFill="1" applyBorder="1" applyAlignment="1">
      <alignment horizontal="center" vertical="center"/>
    </xf>
    <xf numFmtId="0" fontId="64" fillId="0" borderId="6" xfId="0" applyFont="1" applyFill="1" applyBorder="1" applyAlignment="1">
      <alignment horizontal="center" vertical="center"/>
    </xf>
    <xf numFmtId="0" fontId="64" fillId="0" borderId="89" xfId="0" applyFont="1" applyFill="1" applyBorder="1" applyAlignment="1">
      <alignment horizontal="center" vertical="center"/>
    </xf>
    <xf numFmtId="0" fontId="64" fillId="0" borderId="12" xfId="0" applyFont="1" applyFill="1" applyBorder="1" applyAlignment="1">
      <alignment horizontal="justify" vertical="center" wrapText="1"/>
    </xf>
    <xf numFmtId="0" fontId="64" fillId="0" borderId="1" xfId="0" applyFont="1" applyFill="1" applyBorder="1" applyAlignment="1">
      <alignment horizontal="left" vertical="top"/>
    </xf>
    <xf numFmtId="14" fontId="70" fillId="0" borderId="19" xfId="0" applyNumberFormat="1" applyFont="1" applyFill="1" applyBorder="1" applyAlignment="1">
      <alignment horizontal="left" vertical="top"/>
    </xf>
    <xf numFmtId="0" fontId="64" fillId="3" borderId="1" xfId="0" applyFont="1" applyFill="1" applyBorder="1" applyAlignment="1">
      <alignment horizontal="left" vertical="top"/>
    </xf>
    <xf numFmtId="0" fontId="64" fillId="0" borderId="42" xfId="0" applyFont="1" applyFill="1" applyBorder="1" applyAlignment="1">
      <alignment horizontal="left" vertical="center" wrapText="1"/>
    </xf>
    <xf numFmtId="0" fontId="64" fillId="43" borderId="1" xfId="0" applyFont="1" applyFill="1" applyBorder="1" applyAlignment="1">
      <alignment horizontal="left" vertical="top"/>
    </xf>
    <xf numFmtId="14" fontId="64" fillId="0" borderId="19" xfId="0" applyNumberFormat="1" applyFont="1" applyFill="1" applyBorder="1" applyAlignment="1">
      <alignment horizontal="left" vertical="top"/>
    </xf>
    <xf numFmtId="14" fontId="64" fillId="5" borderId="19" xfId="0" applyNumberFormat="1" applyFont="1" applyFill="1" applyBorder="1" applyAlignment="1">
      <alignment horizontal="left" vertical="top"/>
    </xf>
    <xf numFmtId="0" fontId="64" fillId="5" borderId="29" xfId="0" applyFont="1" applyFill="1" applyBorder="1" applyAlignment="1">
      <alignment horizontal="left" vertical="top"/>
    </xf>
    <xf numFmtId="14" fontId="64" fillId="43" borderId="19" xfId="0" applyNumberFormat="1" applyFont="1" applyFill="1" applyBorder="1" applyAlignment="1">
      <alignment horizontal="left" vertical="top"/>
    </xf>
    <xf numFmtId="0" fontId="64" fillId="5" borderId="19" xfId="0" applyFont="1" applyFill="1" applyBorder="1" applyAlignment="1">
      <alignment horizontal="left" vertical="top"/>
    </xf>
    <xf numFmtId="0" fontId="65" fillId="0" borderId="12" xfId="0" applyFont="1" applyBorder="1" applyAlignment="1">
      <alignment horizontal="justify" vertical="center" wrapText="1"/>
    </xf>
    <xf numFmtId="14" fontId="64" fillId="0" borderId="31" xfId="0" applyNumberFormat="1" applyFont="1" applyFill="1" applyBorder="1" applyAlignment="1">
      <alignment horizontal="left" vertical="top"/>
    </xf>
    <xf numFmtId="0" fontId="65" fillId="0" borderId="12" xfId="0" applyFont="1" applyFill="1" applyBorder="1" applyAlignment="1">
      <alignment horizontal="left" vertical="center" wrapText="1"/>
    </xf>
    <xf numFmtId="0" fontId="21" fillId="0" borderId="10" xfId="0" applyFont="1" applyBorder="1" applyAlignment="1">
      <alignment horizontal="center" vertical="center"/>
    </xf>
    <xf numFmtId="0" fontId="64" fillId="0" borderId="88" xfId="0" applyFont="1" applyFill="1" applyBorder="1" applyAlignment="1">
      <alignment horizontal="left" vertical="center" wrapText="1"/>
    </xf>
    <xf numFmtId="0" fontId="64" fillId="0" borderId="48" xfId="0" applyFont="1" applyBorder="1" applyAlignment="1">
      <alignment horizontal="left" vertical="top"/>
    </xf>
    <xf numFmtId="14" fontId="64" fillId="38" borderId="29" xfId="0" applyNumberFormat="1" applyFont="1" applyFill="1" applyBorder="1" applyAlignment="1">
      <alignment horizontal="left" vertical="top"/>
    </xf>
    <xf numFmtId="0" fontId="64" fillId="5" borderId="39" xfId="0" applyFont="1" applyFill="1" applyBorder="1" applyAlignment="1">
      <alignment horizontal="left" vertical="top"/>
    </xf>
    <xf numFmtId="0" fontId="64" fillId="0" borderId="10" xfId="0" applyFont="1" applyBorder="1" applyAlignment="1">
      <alignment horizontal="left" vertical="top"/>
    </xf>
    <xf numFmtId="0" fontId="64" fillId="5" borderId="16" xfId="0" applyFont="1" applyFill="1" applyBorder="1" applyAlignment="1">
      <alignment horizontal="left" vertical="top"/>
    </xf>
    <xf numFmtId="0" fontId="65" fillId="0" borderId="17" xfId="0" applyFont="1" applyFill="1" applyBorder="1" applyAlignment="1">
      <alignment horizontal="left" vertical="top"/>
    </xf>
    <xf numFmtId="0" fontId="64" fillId="0" borderId="22" xfId="0" applyFont="1" applyBorder="1" applyAlignment="1">
      <alignment horizontal="left" vertical="top"/>
    </xf>
    <xf numFmtId="0" fontId="64" fillId="0" borderId="9" xfId="0" applyFont="1" applyFill="1" applyBorder="1" applyAlignment="1">
      <alignment horizontal="justify" vertical="center" wrapText="1"/>
    </xf>
    <xf numFmtId="0" fontId="64" fillId="5" borderId="109" xfId="0" applyFont="1" applyFill="1" applyBorder="1" applyAlignment="1">
      <alignment horizontal="left" vertical="top"/>
    </xf>
    <xf numFmtId="0" fontId="64" fillId="0" borderId="103" xfId="0" applyFont="1" applyBorder="1" applyAlignment="1">
      <alignment horizontal="center" vertical="center"/>
    </xf>
    <xf numFmtId="0" fontId="64" fillId="0" borderId="102" xfId="0" applyFont="1" applyBorder="1" applyAlignment="1">
      <alignment horizontal="center" vertical="center"/>
    </xf>
    <xf numFmtId="0" fontId="64" fillId="0" borderId="100" xfId="0" applyFont="1" applyBorder="1" applyAlignment="1">
      <alignment horizontal="center" vertical="center"/>
    </xf>
    <xf numFmtId="166" fontId="65" fillId="0" borderId="21" xfId="0" applyNumberFormat="1" applyFont="1" applyBorder="1" applyAlignment="1">
      <alignment horizontal="center" vertical="center" wrapText="1"/>
    </xf>
    <xf numFmtId="166" fontId="65" fillId="0" borderId="5" xfId="0" applyNumberFormat="1" applyFont="1" applyBorder="1" applyAlignment="1">
      <alignment horizontal="center" vertical="center" wrapText="1"/>
    </xf>
    <xf numFmtId="0" fontId="64" fillId="0" borderId="22" xfId="0" applyFont="1" applyBorder="1" applyAlignment="1">
      <alignment horizontal="center" vertical="center"/>
    </xf>
    <xf numFmtId="0" fontId="67" fillId="24" borderId="89" xfId="0" applyFont="1" applyFill="1" applyBorder="1" applyAlignment="1">
      <alignment horizontal="center" vertical="top" wrapText="1"/>
    </xf>
    <xf numFmtId="0" fontId="21" fillId="0" borderId="16" xfId="0" applyFont="1" applyBorder="1" applyAlignment="1">
      <alignment horizontal="center" vertical="center"/>
    </xf>
    <xf numFmtId="0" fontId="65" fillId="0" borderId="23" xfId="0" applyFont="1" applyFill="1" applyBorder="1" applyAlignment="1">
      <alignment horizontal="justify" vertical="center" wrapText="1"/>
    </xf>
    <xf numFmtId="0" fontId="64" fillId="0" borderId="102" xfId="0" applyFont="1" applyBorder="1" applyAlignment="1">
      <alignment horizontal="justify" vertical="center" wrapTex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64" fillId="0" borderId="110" xfId="0" applyFont="1" applyFill="1" applyBorder="1" applyAlignment="1">
      <alignment horizontal="left" vertical="center" wrapText="1"/>
    </xf>
    <xf numFmtId="0" fontId="64" fillId="0" borderId="5" xfId="0" applyFont="1" applyFill="1" applyBorder="1" applyAlignment="1">
      <alignment horizontal="left" vertical="center" wrapText="1"/>
    </xf>
    <xf numFmtId="0" fontId="64" fillId="0" borderId="22" xfId="0" applyFont="1" applyFill="1" applyBorder="1" applyAlignment="1">
      <alignment horizontal="left" vertical="center" wrapText="1"/>
    </xf>
    <xf numFmtId="0" fontId="64" fillId="0" borderId="23" xfId="0" applyFont="1" applyBorder="1" applyAlignment="1">
      <alignment horizontal="left" vertical="center" wrapText="1"/>
    </xf>
    <xf numFmtId="0" fontId="64" fillId="0" borderId="17" xfId="0" applyFont="1" applyBorder="1" applyAlignment="1">
      <alignment horizontal="left" vertical="center" wrapText="1"/>
    </xf>
    <xf numFmtId="0" fontId="21" fillId="0" borderId="29" xfId="0" applyFont="1" applyBorder="1" applyAlignment="1">
      <alignment horizontal="center" vertical="center"/>
    </xf>
    <xf numFmtId="0" fontId="21" fillId="0" borderId="111" xfId="0" applyFont="1" applyBorder="1" applyAlignment="1">
      <alignment horizontal="center" vertical="center"/>
    </xf>
    <xf numFmtId="0" fontId="64" fillId="0" borderId="5" xfId="0" applyFont="1" applyBorder="1" applyAlignment="1">
      <alignment horizontal="left" vertical="center" wrapText="1"/>
    </xf>
    <xf numFmtId="0" fontId="65" fillId="0" borderId="6" xfId="0" applyFont="1" applyBorder="1" applyAlignment="1">
      <alignment horizontal="left" vertical="center" wrapText="1"/>
    </xf>
    <xf numFmtId="0" fontId="64" fillId="0" borderId="16" xfId="0" applyFont="1" applyBorder="1" applyAlignment="1">
      <alignment horizontal="left" vertical="top"/>
    </xf>
    <xf numFmtId="0" fontId="64" fillId="0" borderId="17" xfId="0" applyFont="1" applyBorder="1" applyAlignment="1">
      <alignment horizontal="left" vertical="top"/>
    </xf>
    <xf numFmtId="0" fontId="64" fillId="0" borderId="18" xfId="0" applyFont="1" applyBorder="1" applyAlignment="1">
      <alignment horizontal="left" vertical="top"/>
    </xf>
    <xf numFmtId="0" fontId="64" fillId="5" borderId="21" xfId="0" applyFont="1" applyFill="1" applyBorder="1" applyAlignment="1">
      <alignment horizontal="left" vertical="top"/>
    </xf>
    <xf numFmtId="0" fontId="64" fillId="21" borderId="16" xfId="0" applyFont="1" applyFill="1" applyBorder="1" applyAlignment="1">
      <alignment horizontal="left" vertical="top"/>
    </xf>
    <xf numFmtId="14" fontId="64" fillId="38" borderId="21" xfId="0" applyNumberFormat="1" applyFont="1" applyFill="1" applyBorder="1" applyAlignment="1">
      <alignment horizontal="left" vertical="top"/>
    </xf>
    <xf numFmtId="0" fontId="64" fillId="0" borderId="16" xfId="0" applyFont="1" applyBorder="1" applyAlignment="1">
      <alignment horizontal="center" vertical="center"/>
    </xf>
    <xf numFmtId="0" fontId="64" fillId="0" borderId="17" xfId="0" applyFont="1" applyBorder="1" applyAlignment="1">
      <alignment horizontal="center" vertical="center"/>
    </xf>
    <xf numFmtId="0" fontId="64" fillId="0" borderId="18" xfId="0" applyFont="1" applyBorder="1" applyAlignment="1">
      <alignment horizontal="center" vertical="center"/>
    </xf>
    <xf numFmtId="0" fontId="21" fillId="0" borderId="19" xfId="0" applyFont="1" applyFill="1" applyBorder="1" applyAlignment="1">
      <alignment horizontal="center" vertical="center"/>
    </xf>
    <xf numFmtId="0" fontId="64" fillId="0" borderId="110" xfId="0" applyFont="1" applyBorder="1" applyAlignment="1">
      <alignment horizontal="left" vertical="center" wrapText="1"/>
    </xf>
    <xf numFmtId="0" fontId="64" fillId="0" borderId="110" xfId="0" applyFont="1" applyBorder="1" applyAlignment="1">
      <alignment horizontal="justify" vertical="center" wrapText="1"/>
    </xf>
    <xf numFmtId="0" fontId="64" fillId="0" borderId="21" xfId="0" applyFont="1" applyBorder="1" applyAlignment="1">
      <alignment horizontal="center" vertical="center"/>
    </xf>
    <xf numFmtId="0" fontId="64" fillId="0" borderId="5" xfId="0" applyFont="1" applyBorder="1" applyAlignment="1">
      <alignment horizontal="center" vertical="center"/>
    </xf>
    <xf numFmtId="0" fontId="64" fillId="0" borderId="44" xfId="0" applyFont="1" applyFill="1" applyBorder="1" applyAlignment="1">
      <alignment horizontal="center" vertical="center"/>
    </xf>
    <xf numFmtId="0" fontId="64" fillId="0" borderId="9" xfId="0" applyFont="1" applyFill="1" applyBorder="1" applyAlignment="1">
      <alignment horizontal="center" vertical="center"/>
    </xf>
    <xf numFmtId="0" fontId="64" fillId="0" borderId="86" xfId="0" applyFont="1" applyFill="1" applyBorder="1" applyAlignment="1">
      <alignment horizontal="center" vertical="center"/>
    </xf>
    <xf numFmtId="0" fontId="64" fillId="0" borderId="105" xfId="0" applyFont="1" applyBorder="1" applyAlignment="1">
      <alignment horizontal="justify" vertical="center" wrapText="1"/>
    </xf>
    <xf numFmtId="0" fontId="64" fillId="0" borderId="6" xfId="0" applyFont="1" applyBorder="1" applyAlignment="1">
      <alignment horizontal="justify" vertical="top" wrapText="1"/>
    </xf>
    <xf numFmtId="0" fontId="64" fillId="0" borderId="29" xfId="0" applyFont="1" applyBorder="1" applyAlignment="1">
      <alignment horizontal="center" vertical="center"/>
    </xf>
    <xf numFmtId="0" fontId="64" fillId="0" borderId="6" xfId="0" applyFont="1" applyBorder="1" applyAlignment="1">
      <alignment horizontal="center" vertical="center"/>
    </xf>
    <xf numFmtId="14" fontId="64" fillId="5" borderId="29" xfId="0" applyNumberFormat="1" applyFont="1" applyFill="1" applyBorder="1" applyAlignment="1">
      <alignment horizontal="left" vertical="top"/>
    </xf>
    <xf numFmtId="0" fontId="10" fillId="7" borderId="0" xfId="0" applyFont="1" applyFill="1" applyBorder="1" applyAlignment="1">
      <alignment horizontal="center"/>
    </xf>
    <xf numFmtId="0" fontId="0" fillId="7" borderId="0" xfId="0" applyFill="1" applyBorder="1" applyAlignment="1">
      <alignment horizontal="center" vertical="center"/>
    </xf>
    <xf numFmtId="9" fontId="0" fillId="7" borderId="0" xfId="0" applyNumberFormat="1" applyFill="1" applyBorder="1" applyAlignment="1">
      <alignment horizontal="center" vertical="center"/>
    </xf>
    <xf numFmtId="0" fontId="0" fillId="7" borderId="0" xfId="0" applyFill="1" applyBorder="1" applyAlignment="1">
      <alignment wrapText="1"/>
    </xf>
    <xf numFmtId="0" fontId="0" fillId="7" borderId="1" xfId="0" applyFill="1" applyBorder="1"/>
    <xf numFmtId="0" fontId="10" fillId="5" borderId="1" xfId="0" applyFont="1" applyFill="1" applyBorder="1"/>
    <xf numFmtId="0" fontId="10" fillId="44" borderId="1" xfId="0" applyFont="1" applyFill="1" applyBorder="1" applyAlignment="1">
      <alignment horizontal="center"/>
    </xf>
    <xf numFmtId="17" fontId="16" fillId="0" borderId="1" xfId="0" applyNumberFormat="1" applyFont="1" applyBorder="1" applyAlignment="1">
      <alignment horizontal="center" vertical="center" wrapText="1"/>
    </xf>
    <xf numFmtId="1" fontId="16" fillId="0" borderId="5" xfId="0" applyNumberFormat="1" applyFont="1" applyBorder="1" applyAlignment="1">
      <alignment horizontal="center" vertical="center" wrapText="1"/>
    </xf>
    <xf numFmtId="0" fontId="21" fillId="7" borderId="1" xfId="0" applyFont="1" applyFill="1" applyBorder="1" applyAlignment="1">
      <alignment horizontal="center" vertical="center"/>
    </xf>
    <xf numFmtId="0" fontId="64" fillId="7" borderId="6" xfId="0" applyFont="1" applyFill="1" applyBorder="1" applyAlignment="1">
      <alignment horizontal="left" vertical="top"/>
    </xf>
    <xf numFmtId="0" fontId="64" fillId="5" borderId="9" xfId="0" applyFont="1" applyFill="1" applyBorder="1" applyAlignment="1">
      <alignment horizontal="left" vertical="top"/>
    </xf>
    <xf numFmtId="0" fontId="64" fillId="5" borderId="5" xfId="0" applyFont="1" applyFill="1" applyBorder="1" applyAlignment="1">
      <alignment horizontal="left" vertical="top"/>
    </xf>
    <xf numFmtId="0" fontId="64" fillId="5" borderId="1" xfId="0" applyFont="1" applyFill="1" applyBorder="1" applyAlignment="1">
      <alignment horizontal="left" vertical="top"/>
    </xf>
    <xf numFmtId="0" fontId="64" fillId="5" borderId="6" xfId="0" applyFont="1" applyFill="1" applyBorder="1" applyAlignment="1">
      <alignment horizontal="left" vertical="top"/>
    </xf>
    <xf numFmtId="0" fontId="64" fillId="5" borderId="10" xfId="0" applyFont="1" applyFill="1" applyBorder="1" applyAlignment="1">
      <alignment horizontal="left" vertical="top"/>
    </xf>
    <xf numFmtId="0" fontId="64" fillId="5" borderId="17" xfId="0" applyFont="1" applyFill="1" applyBorder="1" applyAlignment="1">
      <alignment horizontal="left" vertical="top"/>
    </xf>
    <xf numFmtId="0" fontId="65" fillId="0" borderId="42" xfId="0" applyFont="1" applyBorder="1" applyAlignment="1">
      <alignment horizontal="left" vertical="center" wrapText="1"/>
    </xf>
    <xf numFmtId="0" fontId="65" fillId="0" borderId="48" xfId="0" applyFont="1" applyBorder="1" applyAlignment="1">
      <alignment horizontal="left" vertical="center" wrapText="1"/>
    </xf>
    <xf numFmtId="0" fontId="64" fillId="5" borderId="102" xfId="0" applyFont="1" applyFill="1" applyBorder="1" applyAlignment="1">
      <alignment horizontal="left" vertical="top"/>
    </xf>
    <xf numFmtId="0" fontId="65" fillId="0" borderId="89" xfId="0" applyFont="1" applyBorder="1" applyAlignment="1">
      <alignment horizontal="left" vertical="center" wrapText="1"/>
    </xf>
    <xf numFmtId="0" fontId="65" fillId="0" borderId="18" xfId="0" applyFont="1" applyBorder="1" applyAlignment="1">
      <alignment horizontal="left" vertical="center" wrapText="1"/>
    </xf>
    <xf numFmtId="0" fontId="65" fillId="0" borderId="20" xfId="0" applyFont="1" applyBorder="1" applyAlignment="1">
      <alignment horizontal="left" vertical="center" wrapText="1"/>
    </xf>
    <xf numFmtId="0" fontId="65" fillId="0" borderId="22" xfId="0" applyFont="1" applyBorder="1" applyAlignment="1">
      <alignment horizontal="left" vertical="center" wrapText="1"/>
    </xf>
    <xf numFmtId="0" fontId="65" fillId="0" borderId="48" xfId="0" applyFont="1" applyBorder="1" applyAlignment="1">
      <alignment horizontal="justify" vertical="center" wrapText="1"/>
    </xf>
    <xf numFmtId="0" fontId="65" fillId="17" borderId="12" xfId="0" applyFont="1" applyFill="1" applyBorder="1" applyAlignment="1">
      <alignment horizontal="left" vertical="center" wrapText="1"/>
    </xf>
    <xf numFmtId="0" fontId="65" fillId="17" borderId="1" xfId="0" applyFont="1" applyFill="1" applyBorder="1" applyAlignment="1">
      <alignment horizontal="left" vertical="center" wrapText="1"/>
    </xf>
    <xf numFmtId="0" fontId="65" fillId="3" borderId="1" xfId="0" applyFont="1" applyFill="1" applyBorder="1" applyAlignment="1">
      <alignment horizontal="left" vertical="center" wrapText="1"/>
    </xf>
    <xf numFmtId="0" fontId="65" fillId="17" borderId="12" xfId="0" applyFont="1" applyFill="1" applyBorder="1" applyAlignment="1">
      <alignment horizontal="left" vertical="center"/>
    </xf>
    <xf numFmtId="0" fontId="65" fillId="3" borderId="12" xfId="0" applyFont="1" applyFill="1" applyBorder="1" applyAlignment="1">
      <alignment horizontal="left" vertical="center"/>
    </xf>
    <xf numFmtId="0" fontId="73" fillId="0" borderId="1" xfId="0" applyFont="1" applyFill="1" applyBorder="1" applyAlignment="1">
      <alignment horizontal="center" vertical="center"/>
    </xf>
    <xf numFmtId="0" fontId="70" fillId="0" borderId="12" xfId="0" applyFont="1" applyFill="1" applyBorder="1" applyAlignment="1">
      <alignment horizontal="justify" vertical="center" wrapText="1"/>
    </xf>
    <xf numFmtId="0" fontId="70" fillId="0" borderId="1" xfId="0" applyFont="1" applyFill="1" applyBorder="1" applyAlignment="1">
      <alignment horizontal="left" vertical="center" wrapText="1"/>
    </xf>
    <xf numFmtId="0" fontId="70" fillId="0" borderId="1" xfId="0" applyFont="1" applyFill="1" applyBorder="1" applyAlignment="1">
      <alignment horizontal="justify" vertical="center" wrapText="1"/>
    </xf>
    <xf numFmtId="0" fontId="70" fillId="0" borderId="42" xfId="0" applyFont="1" applyFill="1" applyBorder="1" applyAlignment="1">
      <alignment horizontal="left" vertical="center" wrapText="1"/>
    </xf>
    <xf numFmtId="0" fontId="70" fillId="0" borderId="19" xfId="0" applyFont="1" applyFill="1" applyBorder="1" applyAlignment="1">
      <alignment horizontal="center" vertical="center"/>
    </xf>
    <xf numFmtId="0" fontId="70" fillId="0" borderId="1" xfId="0" applyFont="1" applyFill="1" applyBorder="1" applyAlignment="1">
      <alignment horizontal="center" vertical="center"/>
    </xf>
    <xf numFmtId="0" fontId="70" fillId="0" borderId="42" xfId="0" applyFont="1" applyFill="1" applyBorder="1" applyAlignment="1">
      <alignment horizontal="center" vertical="center"/>
    </xf>
    <xf numFmtId="14" fontId="70" fillId="38" borderId="19" xfId="0" applyNumberFormat="1" applyFont="1" applyFill="1" applyBorder="1" applyAlignment="1">
      <alignment horizontal="left" vertical="top"/>
    </xf>
    <xf numFmtId="14" fontId="70" fillId="0" borderId="31" xfId="0" applyNumberFormat="1" applyFont="1" applyFill="1" applyBorder="1" applyAlignment="1">
      <alignment horizontal="left" vertical="top"/>
    </xf>
    <xf numFmtId="0" fontId="70" fillId="0" borderId="1" xfId="0" applyFont="1" applyFill="1" applyBorder="1" applyAlignment="1">
      <alignment horizontal="left" vertical="top"/>
    </xf>
    <xf numFmtId="0" fontId="70" fillId="0" borderId="20" xfId="0" applyFont="1" applyFill="1" applyBorder="1" applyAlignment="1">
      <alignment horizontal="left" vertical="top"/>
    </xf>
    <xf numFmtId="0" fontId="73" fillId="0" borderId="0" xfId="0" applyFont="1" applyFill="1" applyAlignment="1">
      <alignment horizontal="left" vertical="top"/>
    </xf>
    <xf numFmtId="0" fontId="23" fillId="38" borderId="84" xfId="0" applyFont="1" applyFill="1" applyBorder="1" applyAlignment="1">
      <alignment horizontal="left" vertical="top" wrapText="1"/>
    </xf>
    <xf numFmtId="0" fontId="23" fillId="45" borderId="1" xfId="0" applyFont="1" applyFill="1" applyBorder="1" applyAlignment="1">
      <alignment horizontal="left" vertical="top" wrapText="1"/>
    </xf>
    <xf numFmtId="0" fontId="21" fillId="0" borderId="84" xfId="0" applyFont="1" applyBorder="1" applyAlignment="1">
      <alignment horizontal="left" vertical="top" wrapText="1"/>
    </xf>
    <xf numFmtId="0" fontId="21" fillId="0" borderId="1" xfId="0" applyFont="1" applyBorder="1" applyAlignment="1">
      <alignment horizontal="left" vertical="top" wrapText="1"/>
    </xf>
    <xf numFmtId="0" fontId="64" fillId="21" borderId="10" xfId="0" applyFont="1" applyFill="1" applyBorder="1" applyAlignment="1">
      <alignment horizontal="left" vertical="top"/>
    </xf>
    <xf numFmtId="0" fontId="65" fillId="0" borderId="105" xfId="0" applyFont="1" applyBorder="1" applyAlignment="1">
      <alignment horizontal="left" vertical="center"/>
    </xf>
    <xf numFmtId="0" fontId="21" fillId="0" borderId="1" xfId="0" applyFont="1" applyBorder="1" applyAlignment="1">
      <alignment horizontal="left" vertical="top"/>
    </xf>
    <xf numFmtId="0" fontId="64" fillId="0" borderId="1" xfId="0" applyFont="1" applyFill="1" applyBorder="1" applyAlignment="1">
      <alignment horizontal="justify" vertical="justify" wrapText="1"/>
    </xf>
    <xf numFmtId="0" fontId="65" fillId="0" borderId="12" xfId="0" applyFont="1" applyFill="1" applyBorder="1" applyAlignment="1">
      <alignment horizontal="justify" vertical="center" wrapText="1"/>
    </xf>
    <xf numFmtId="0" fontId="70" fillId="0" borderId="12" xfId="0" applyFont="1" applyFill="1" applyBorder="1" applyAlignment="1">
      <alignment horizontal="left" vertical="center"/>
    </xf>
    <xf numFmtId="0" fontId="70" fillId="0" borderId="88" xfId="0" applyFont="1" applyBorder="1" applyAlignment="1">
      <alignment horizontal="justify" vertical="center" wrapText="1"/>
    </xf>
    <xf numFmtId="0" fontId="70" fillId="0" borderId="9" xfId="0" applyFont="1" applyBorder="1" applyAlignment="1">
      <alignment horizontal="left" vertical="center" wrapText="1"/>
    </xf>
    <xf numFmtId="0" fontId="70" fillId="0" borderId="9" xfId="0" applyFont="1" applyBorder="1" applyAlignment="1">
      <alignment horizontal="justify" vertical="center" wrapText="1"/>
    </xf>
    <xf numFmtId="0" fontId="70" fillId="4" borderId="42" xfId="0" applyFont="1" applyFill="1" applyBorder="1" applyAlignment="1">
      <alignment horizontal="left" vertical="center" wrapText="1"/>
    </xf>
    <xf numFmtId="0" fontId="64" fillId="0" borderId="44" xfId="0" applyFont="1" applyBorder="1" applyAlignment="1">
      <alignment horizontal="left" vertical="top"/>
    </xf>
    <xf numFmtId="14" fontId="64" fillId="38" borderId="39" xfId="0" applyNumberFormat="1" applyFont="1" applyFill="1" applyBorder="1" applyAlignment="1">
      <alignment horizontal="left" vertical="top"/>
    </xf>
    <xf numFmtId="0" fontId="64" fillId="0" borderId="105" xfId="0" applyFont="1" applyBorder="1" applyAlignment="1">
      <alignment horizontal="left" vertical="center" wrapText="1"/>
    </xf>
    <xf numFmtId="0" fontId="64" fillId="0" borderId="6" xfId="0" applyFont="1" applyBorder="1" applyAlignment="1">
      <alignment horizontal="left" vertical="center" wrapText="1"/>
    </xf>
    <xf numFmtId="0" fontId="65" fillId="0" borderId="49" xfId="0" applyFont="1" applyBorder="1" applyAlignment="1">
      <alignment horizontal="left" vertical="center" wrapText="1"/>
    </xf>
    <xf numFmtId="14" fontId="64" fillId="38" borderId="46" xfId="0" applyNumberFormat="1" applyFont="1" applyFill="1" applyBorder="1" applyAlignment="1">
      <alignment horizontal="left" vertical="top"/>
    </xf>
    <xf numFmtId="14" fontId="64" fillId="5" borderId="1" xfId="0" applyNumberFormat="1" applyFont="1" applyFill="1" applyBorder="1" applyAlignment="1">
      <alignment horizontal="left" vertical="top"/>
    </xf>
    <xf numFmtId="14" fontId="64" fillId="38" borderId="9" xfId="0" applyNumberFormat="1" applyFont="1" applyFill="1" applyBorder="1" applyAlignment="1">
      <alignment horizontal="left" vertical="top"/>
    </xf>
    <xf numFmtId="0" fontId="64" fillId="3" borderId="105" xfId="0" applyFont="1" applyFill="1" applyBorder="1" applyAlignment="1">
      <alignment horizontal="left" vertical="top"/>
    </xf>
    <xf numFmtId="0" fontId="64" fillId="3" borderId="9" xfId="0" applyFont="1" applyFill="1" applyBorder="1" applyAlignment="1">
      <alignment horizontal="left" vertical="top"/>
    </xf>
    <xf numFmtId="0" fontId="64" fillId="3" borderId="42" xfId="0" applyFont="1" applyFill="1" applyBorder="1" applyAlignment="1">
      <alignment horizontal="left" vertical="top"/>
    </xf>
    <xf numFmtId="0" fontId="64" fillId="3" borderId="1" xfId="0" applyFont="1" applyFill="1" applyBorder="1" applyAlignment="1">
      <alignment horizontal="left" vertical="center" wrapText="1"/>
    </xf>
    <xf numFmtId="0" fontId="64" fillId="3" borderId="12" xfId="0" applyFont="1" applyFill="1" applyBorder="1" applyAlignment="1">
      <alignment horizontal="left" vertical="center" wrapText="1"/>
    </xf>
    <xf numFmtId="0" fontId="65" fillId="17" borderId="31" xfId="0" applyFont="1" applyFill="1" applyBorder="1" applyAlignment="1">
      <alignment horizontal="justify" vertical="center" wrapText="1"/>
    </xf>
    <xf numFmtId="0" fontId="70" fillId="0" borderId="1" xfId="0" applyFont="1" applyBorder="1" applyAlignment="1">
      <alignment horizontal="left" vertical="center" wrapText="1"/>
    </xf>
    <xf numFmtId="0" fontId="65" fillId="17" borderId="6" xfId="0" applyFont="1" applyFill="1" applyBorder="1" applyAlignment="1">
      <alignment horizontal="left" vertical="center" wrapText="1"/>
    </xf>
    <xf numFmtId="0" fontId="65" fillId="3" borderId="12"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17" borderId="9" xfId="0" applyFont="1" applyFill="1" applyBorder="1" applyAlignment="1">
      <alignment horizontal="left" vertical="center" wrapText="1"/>
    </xf>
    <xf numFmtId="0" fontId="65" fillId="17" borderId="88" xfId="0" applyFont="1" applyFill="1" applyBorder="1" applyAlignment="1">
      <alignment horizontal="left" vertical="center"/>
    </xf>
    <xf numFmtId="0" fontId="65" fillId="17" borderId="88" xfId="0" applyFont="1" applyFill="1" applyBorder="1" applyAlignment="1">
      <alignment horizontal="left" vertical="center" wrapText="1"/>
    </xf>
    <xf numFmtId="0" fontId="71" fillId="17" borderId="12" xfId="0" applyFont="1" applyFill="1" applyBorder="1" applyAlignment="1">
      <alignment horizontal="left" vertical="center" wrapText="1"/>
    </xf>
    <xf numFmtId="0" fontId="67" fillId="17" borderId="1" xfId="0" applyFont="1" applyFill="1" applyBorder="1" applyAlignment="1">
      <alignment horizontal="left" vertical="center" wrapText="1"/>
    </xf>
    <xf numFmtId="0" fontId="65" fillId="17" borderId="12" xfId="0" applyFont="1" applyFill="1" applyBorder="1" applyAlignment="1">
      <alignment horizontal="justify" vertical="center"/>
    </xf>
    <xf numFmtId="0" fontId="65" fillId="3" borderId="31" xfId="0" applyFont="1" applyFill="1" applyBorder="1" applyAlignment="1">
      <alignment vertical="center" wrapText="1"/>
    </xf>
    <xf numFmtId="0" fontId="65" fillId="0" borderId="1" xfId="0" applyFont="1" applyFill="1" applyBorder="1" applyAlignment="1">
      <alignment horizontal="left" vertical="center" wrapText="1"/>
    </xf>
    <xf numFmtId="0" fontId="65" fillId="3" borderId="12" xfId="0" applyFont="1" applyFill="1" applyBorder="1" applyAlignment="1">
      <alignment horizontal="justify" vertical="center"/>
    </xf>
    <xf numFmtId="0" fontId="28" fillId="7" borderId="2" xfId="0" applyFont="1" applyFill="1" applyBorder="1" applyAlignment="1">
      <alignment horizontal="justify" vertical="justify" wrapText="1"/>
    </xf>
    <xf numFmtId="0" fontId="28" fillId="7" borderId="35" xfId="0" applyFont="1" applyFill="1" applyBorder="1" applyAlignment="1">
      <alignment horizontal="justify" vertical="justify" wrapText="1"/>
    </xf>
    <xf numFmtId="0" fontId="28" fillId="7" borderId="36" xfId="0" applyFont="1" applyFill="1" applyBorder="1" applyAlignment="1">
      <alignment horizontal="justify" vertical="justify" wrapText="1"/>
    </xf>
    <xf numFmtId="0" fontId="14" fillId="11" borderId="2" xfId="0" applyFont="1" applyFill="1" applyBorder="1" applyAlignment="1">
      <alignment horizontal="center" vertical="center" wrapText="1"/>
    </xf>
    <xf numFmtId="0" fontId="14" fillId="11" borderId="35" xfId="0" applyFont="1" applyFill="1" applyBorder="1" applyAlignment="1">
      <alignment horizontal="center" vertical="center" wrapText="1"/>
    </xf>
    <xf numFmtId="0" fontId="14" fillId="11" borderId="36" xfId="0" applyFont="1" applyFill="1" applyBorder="1" applyAlignment="1">
      <alignment horizontal="center" vertical="center" wrapText="1"/>
    </xf>
    <xf numFmtId="0" fontId="60" fillId="7" borderId="0" xfId="0" applyFont="1" applyFill="1" applyBorder="1" applyAlignment="1">
      <alignment horizontal="center" vertical="top" wrapText="1"/>
    </xf>
    <xf numFmtId="0" fontId="14" fillId="11" borderId="38"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6" fillId="7" borderId="1" xfId="0" applyFont="1" applyFill="1" applyBorder="1" applyAlignment="1">
      <alignment horizontal="justify" vertical="justify" wrapText="1"/>
    </xf>
    <xf numFmtId="0" fontId="31" fillId="7" borderId="0" xfId="0" applyFont="1" applyFill="1" applyAlignment="1">
      <alignment horizontal="right"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43" xfId="0" applyFont="1" applyBorder="1" applyAlignment="1">
      <alignment horizontal="left" vertical="center" wrapText="1"/>
    </xf>
    <xf numFmtId="0" fontId="16" fillId="0" borderId="45" xfId="0" applyFont="1" applyBorder="1" applyAlignment="1">
      <alignment horizontal="left" vertical="center" wrapText="1"/>
    </xf>
    <xf numFmtId="0" fontId="17" fillId="19" borderId="19" xfId="0" applyFont="1" applyFill="1" applyBorder="1" applyAlignment="1">
      <alignment horizontal="center" vertical="center" wrapText="1"/>
    </xf>
    <xf numFmtId="0" fontId="17" fillId="19" borderId="21"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31" xfId="0" applyFont="1" applyFill="1" applyBorder="1" applyAlignment="1">
      <alignment horizontal="center" vertical="center" wrapText="1"/>
    </xf>
    <xf numFmtId="0" fontId="17" fillId="10" borderId="44" xfId="0" applyFont="1" applyFill="1" applyBorder="1" applyAlignment="1">
      <alignment horizontal="center" vertical="center" wrapText="1"/>
    </xf>
    <xf numFmtId="0" fontId="17" fillId="10" borderId="29" xfId="0" applyFont="1" applyFill="1" applyBorder="1" applyAlignment="1">
      <alignment horizontal="center" vertical="center" wrapText="1"/>
    </xf>
    <xf numFmtId="14" fontId="29" fillId="0" borderId="2" xfId="14" applyNumberFormat="1" applyFont="1" applyBorder="1" applyAlignment="1">
      <alignment horizontal="center"/>
    </xf>
    <xf numFmtId="14" fontId="29" fillId="0" borderId="36" xfId="14" applyNumberFormat="1" applyFont="1" applyBorder="1" applyAlignment="1">
      <alignment horizontal="center"/>
    </xf>
    <xf numFmtId="0" fontId="29" fillId="0" borderId="54" xfId="14" applyFont="1" applyBorder="1" applyAlignment="1">
      <alignment horizontal="center" vertical="center"/>
    </xf>
    <xf numFmtId="0" fontId="43" fillId="0" borderId="61" xfId="14" applyFont="1" applyBorder="1"/>
    <xf numFmtId="0" fontId="43" fillId="0" borderId="67" xfId="14" applyFont="1" applyBorder="1"/>
    <xf numFmtId="0" fontId="52" fillId="0" borderId="55" xfId="14" applyFont="1" applyBorder="1" applyAlignment="1">
      <alignment horizontal="center" vertical="center" wrapText="1"/>
    </xf>
    <xf numFmtId="0" fontId="43" fillId="0" borderId="56" xfId="14" applyFont="1" applyBorder="1"/>
    <xf numFmtId="0" fontId="43" fillId="0" borderId="57" xfId="14" applyFont="1" applyBorder="1"/>
    <xf numFmtId="0" fontId="43" fillId="0" borderId="62" xfId="14" applyFont="1" applyBorder="1"/>
    <xf numFmtId="0" fontId="29" fillId="0" borderId="0" xfId="14" applyFont="1"/>
    <xf numFmtId="0" fontId="43" fillId="0" borderId="63" xfId="14" applyFont="1" applyBorder="1"/>
    <xf numFmtId="0" fontId="43" fillId="0" borderId="0" xfId="14" applyFont="1"/>
    <xf numFmtId="0" fontId="43" fillId="0" borderId="68" xfId="14" applyFont="1" applyBorder="1"/>
    <xf numFmtId="0" fontId="43" fillId="0" borderId="69" xfId="14" applyFont="1" applyBorder="1"/>
    <xf numFmtId="0" fontId="29" fillId="0" borderId="58" xfId="14" applyFont="1" applyBorder="1" applyAlignment="1">
      <alignment horizontal="center"/>
    </xf>
    <xf numFmtId="0" fontId="43" fillId="0" borderId="59" xfId="14" applyFont="1" applyBorder="1"/>
    <xf numFmtId="0" fontId="29" fillId="0" borderId="60" xfId="14" applyFont="1" applyBorder="1" applyAlignment="1">
      <alignment horizontal="center"/>
    </xf>
    <xf numFmtId="0" fontId="43" fillId="0" borderId="66" xfId="14" applyFont="1" applyBorder="1"/>
    <xf numFmtId="0" fontId="43" fillId="0" borderId="72" xfId="14" applyFont="1" applyBorder="1"/>
    <xf numFmtId="0" fontId="29" fillId="0" borderId="64" xfId="14" applyFont="1" applyBorder="1" applyAlignment="1">
      <alignment horizontal="center"/>
    </xf>
    <xf numFmtId="0" fontId="43" fillId="0" borderId="65" xfId="14" applyFont="1" applyBorder="1"/>
    <xf numFmtId="0" fontId="29" fillId="0" borderId="70" xfId="14" applyFont="1" applyBorder="1" applyAlignment="1">
      <alignment horizontal="center"/>
    </xf>
    <xf numFmtId="0" fontId="43" fillId="0" borderId="71" xfId="14" applyFont="1" applyBorder="1"/>
    <xf numFmtId="0" fontId="44" fillId="29" borderId="77" xfId="14" applyFont="1" applyFill="1" applyBorder="1" applyAlignment="1">
      <alignment horizontal="center" vertical="center" wrapText="1"/>
    </xf>
    <xf numFmtId="0" fontId="43" fillId="0" borderId="81" xfId="14" applyFont="1" applyBorder="1"/>
    <xf numFmtId="0" fontId="44" fillId="29" borderId="78" xfId="14" applyFont="1" applyFill="1" applyBorder="1" applyAlignment="1">
      <alignment horizontal="center" vertical="center" wrapText="1"/>
    </xf>
    <xf numFmtId="0" fontId="44" fillId="29" borderId="79" xfId="14" applyFont="1" applyFill="1" applyBorder="1" applyAlignment="1">
      <alignment horizontal="center" vertical="center" wrapText="1"/>
    </xf>
    <xf numFmtId="0" fontId="43" fillId="0" borderId="79" xfId="14" applyFont="1" applyBorder="1"/>
    <xf numFmtId="0" fontId="44" fillId="29" borderId="0" xfId="14" applyFont="1" applyFill="1" applyAlignment="1">
      <alignment horizontal="center" vertical="center" wrapText="1"/>
    </xf>
    <xf numFmtId="0" fontId="43" fillId="0" borderId="80" xfId="14" applyFont="1" applyBorder="1"/>
    <xf numFmtId="0" fontId="44" fillId="29" borderId="32" xfId="14" applyFont="1" applyFill="1" applyBorder="1" applyAlignment="1">
      <alignment horizontal="center" vertical="center" wrapText="1"/>
    </xf>
    <xf numFmtId="0" fontId="44" fillId="29" borderId="34" xfId="14" applyFont="1" applyFill="1" applyBorder="1" applyAlignment="1">
      <alignment horizontal="center" vertical="center" wrapText="1"/>
    </xf>
    <xf numFmtId="0" fontId="44" fillId="29" borderId="7" xfId="14" applyFont="1" applyFill="1" applyBorder="1" applyAlignment="1">
      <alignment horizontal="center" vertical="center" wrapText="1"/>
    </xf>
    <xf numFmtId="0" fontId="44" fillId="29" borderId="8" xfId="14" applyFont="1" applyFill="1" applyBorder="1" applyAlignment="1">
      <alignment horizontal="center" vertical="center" wrapText="1"/>
    </xf>
    <xf numFmtId="0" fontId="52" fillId="29" borderId="2" xfId="14" applyFont="1" applyFill="1" applyBorder="1" applyAlignment="1">
      <alignment horizontal="center" vertical="center"/>
    </xf>
    <xf numFmtId="0" fontId="52" fillId="29" borderId="36" xfId="14" applyFont="1" applyFill="1" applyBorder="1" applyAlignment="1">
      <alignment horizontal="center" vertical="center"/>
    </xf>
    <xf numFmtId="0" fontId="52" fillId="29" borderId="74" xfId="14" applyFont="1" applyFill="1" applyBorder="1" applyAlignment="1">
      <alignment horizontal="center" vertical="center"/>
    </xf>
    <xf numFmtId="0" fontId="52" fillId="29" borderId="75" xfId="14" applyFont="1" applyFill="1" applyBorder="1" applyAlignment="1">
      <alignment horizontal="center" vertical="center"/>
    </xf>
    <xf numFmtId="0" fontId="52" fillId="29" borderId="56" xfId="14" applyFont="1" applyFill="1" applyBorder="1" applyAlignment="1">
      <alignment horizontal="center" vertical="center"/>
    </xf>
    <xf numFmtId="0" fontId="44" fillId="29" borderId="33" xfId="14" applyFont="1" applyFill="1" applyBorder="1" applyAlignment="1">
      <alignment horizontal="center" vertical="center" wrapText="1"/>
    </xf>
    <xf numFmtId="0" fontId="44" fillId="29" borderId="13" xfId="14" applyFont="1" applyFill="1" applyBorder="1" applyAlignment="1">
      <alignment horizontal="center" vertical="center" wrapText="1"/>
    </xf>
    <xf numFmtId="0" fontId="44" fillId="29" borderId="14" xfId="14" applyFont="1" applyFill="1" applyBorder="1" applyAlignment="1">
      <alignment horizontal="center" vertical="center" wrapText="1"/>
    </xf>
    <xf numFmtId="0" fontId="52" fillId="29" borderId="74" xfId="14" applyFont="1" applyFill="1" applyBorder="1" applyAlignment="1">
      <alignment horizontal="center"/>
    </xf>
    <xf numFmtId="0" fontId="43" fillId="0" borderId="76" xfId="14" applyFont="1" applyBorder="1"/>
    <xf numFmtId="0" fontId="43" fillId="0" borderId="75" xfId="14" applyFont="1" applyBorder="1"/>
    <xf numFmtId="0" fontId="44" fillId="29" borderId="81" xfId="14" applyFont="1" applyFill="1" applyBorder="1" applyAlignment="1">
      <alignment horizontal="center" vertical="center" wrapText="1"/>
    </xf>
    <xf numFmtId="0" fontId="16" fillId="7" borderId="1" xfId="0" applyFont="1" applyFill="1"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10" fillId="0" borderId="17"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47"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99"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41" xfId="0" applyFont="1" applyBorder="1" applyAlignment="1">
      <alignment horizontal="center" vertical="center" wrapText="1"/>
    </xf>
    <xf numFmtId="0" fontId="10" fillId="36" borderId="84" xfId="0" applyFont="1" applyFill="1" applyBorder="1" applyAlignment="1">
      <alignment horizontal="center" vertical="center" wrapText="1"/>
    </xf>
    <xf numFmtId="0" fontId="10" fillId="36" borderId="85" xfId="0" applyFont="1" applyFill="1" applyBorder="1" applyAlignment="1">
      <alignment horizontal="center" vertical="center" wrapText="1"/>
    </xf>
    <xf numFmtId="0" fontId="10" fillId="36" borderId="16"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5" xfId="0" applyFont="1" applyFill="1" applyBorder="1" applyAlignment="1">
      <alignment horizontal="center" vertical="center" wrapText="1"/>
    </xf>
    <xf numFmtId="0" fontId="56" fillId="5" borderId="18" xfId="3" applyFont="1" applyFill="1" applyBorder="1" applyAlignment="1">
      <alignment horizontal="center" vertical="center"/>
    </xf>
    <xf numFmtId="0" fontId="56" fillId="5" borderId="20" xfId="3" applyFont="1" applyFill="1" applyBorder="1" applyAlignment="1">
      <alignment horizontal="center" vertical="center"/>
    </xf>
    <xf numFmtId="0" fontId="10" fillId="36" borderId="16" xfId="0" applyFont="1" applyFill="1" applyBorder="1" applyAlignment="1">
      <alignment horizontal="center" vertical="center"/>
    </xf>
    <xf numFmtId="0" fontId="10" fillId="36" borderId="19" xfId="0"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1"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2" xfId="0" applyFont="1" applyFill="1" applyBorder="1" applyAlignment="1">
      <alignment horizontal="center" vertical="center" wrapText="1"/>
    </xf>
    <xf numFmtId="0" fontId="7" fillId="2" borderId="16"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56" fillId="4" borderId="17" xfId="3" applyFont="1" applyFill="1" applyBorder="1" applyAlignment="1">
      <alignment horizontal="center" vertical="center"/>
    </xf>
    <xf numFmtId="0" fontId="56" fillId="4" borderId="1" xfId="3" applyFont="1" applyFill="1" applyBorder="1" applyAlignment="1">
      <alignment horizontal="center" vertical="center"/>
    </xf>
    <xf numFmtId="0" fontId="56" fillId="3" borderId="17" xfId="3" applyFont="1" applyFill="1" applyBorder="1" applyAlignment="1">
      <alignment horizontal="center" vertical="center"/>
    </xf>
    <xf numFmtId="0" fontId="56" fillId="3" borderId="1" xfId="3" applyFont="1" applyFill="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 xfId="0" applyFont="1" applyBorder="1" applyAlignment="1">
      <alignment horizontal="center" vertical="center" wrapText="1"/>
    </xf>
    <xf numFmtId="0" fontId="45" fillId="11" borderId="42" xfId="0" applyFont="1" applyFill="1" applyBorder="1" applyAlignment="1">
      <alignment horizontal="center" vertical="center" wrapText="1"/>
    </xf>
    <xf numFmtId="0" fontId="45" fillId="11" borderId="43"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7" fillId="0" borderId="46" xfId="0" applyFont="1" applyBorder="1" applyAlignment="1">
      <alignment horizontal="center"/>
    </xf>
    <xf numFmtId="0" fontId="17" fillId="0" borderId="41" xfId="0" applyFont="1" applyBorder="1" applyAlignment="1">
      <alignment horizontal="center"/>
    </xf>
    <xf numFmtId="0" fontId="17" fillId="0" borderId="52" xfId="0" applyFont="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1" fillId="7" borderId="40" xfId="0" applyFont="1" applyFill="1" applyBorder="1" applyAlignment="1">
      <alignment horizontal="right" vertical="center" wrapText="1"/>
    </xf>
    <xf numFmtId="0" fontId="17" fillId="0" borderId="1" xfId="0" applyFont="1" applyBorder="1" applyAlignment="1">
      <alignment horizontal="center" vertical="center" wrapText="1"/>
    </xf>
    <xf numFmtId="0" fontId="46" fillId="11" borderId="42" xfId="0" applyFont="1" applyFill="1" applyBorder="1" applyAlignment="1">
      <alignment horizontal="left" wrapText="1"/>
    </xf>
    <xf numFmtId="0" fontId="46" fillId="11" borderId="12" xfId="0" applyFont="1" applyFill="1" applyBorder="1" applyAlignment="1">
      <alignment horizontal="left" wrapText="1"/>
    </xf>
    <xf numFmtId="0" fontId="46" fillId="0" borderId="41" xfId="0" applyFont="1" applyBorder="1" applyAlignment="1">
      <alignment horizontal="center"/>
    </xf>
    <xf numFmtId="0" fontId="46" fillId="28" borderId="38" xfId="0" applyFont="1" applyFill="1" applyBorder="1" applyAlignment="1">
      <alignment horizontal="left" wrapText="1"/>
    </xf>
    <xf numFmtId="0" fontId="46" fillId="28" borderId="53" xfId="0" applyFont="1" applyFill="1" applyBorder="1" applyAlignment="1">
      <alignment horizontal="left" wrapText="1"/>
    </xf>
    <xf numFmtId="0" fontId="46" fillId="25" borderId="1" xfId="0" applyFont="1" applyFill="1" applyBorder="1" applyAlignment="1">
      <alignment horizontal="center" wrapText="1"/>
    </xf>
    <xf numFmtId="0" fontId="35" fillId="0" borderId="9" xfId="0" applyFont="1" applyBorder="1" applyAlignment="1">
      <alignment horizontal="center"/>
    </xf>
    <xf numFmtId="0" fontId="35" fillId="0" borderId="6" xfId="0" applyFont="1" applyBorder="1" applyAlignment="1">
      <alignment horizontal="center"/>
    </xf>
    <xf numFmtId="0" fontId="35" fillId="17" borderId="9" xfId="0" applyFont="1" applyFill="1" applyBorder="1" applyAlignment="1">
      <alignment horizontal="center"/>
    </xf>
    <xf numFmtId="0" fontId="35" fillId="17" borderId="6" xfId="0" applyFont="1" applyFill="1" applyBorder="1" applyAlignment="1">
      <alignment horizontal="center"/>
    </xf>
    <xf numFmtId="0" fontId="35" fillId="21" borderId="1" xfId="0" applyFont="1" applyFill="1" applyBorder="1" applyAlignment="1">
      <alignment horizontal="center"/>
    </xf>
    <xf numFmtId="0" fontId="35" fillId="17" borderId="1" xfId="0" applyFont="1" applyFill="1" applyBorder="1" applyAlignment="1">
      <alignment horizontal="center"/>
    </xf>
    <xf numFmtId="0" fontId="67" fillId="24" borderId="2" xfId="0" applyFont="1" applyFill="1" applyBorder="1" applyAlignment="1">
      <alignment horizontal="center" vertical="top" wrapText="1"/>
    </xf>
    <xf numFmtId="0" fontId="67" fillId="24" borderId="35" xfId="0" applyFont="1" applyFill="1" applyBorder="1" applyAlignment="1">
      <alignment horizontal="center" vertical="top" wrapText="1"/>
    </xf>
    <xf numFmtId="0" fontId="67" fillId="24" borderId="36" xfId="0" applyFont="1" applyFill="1" applyBorder="1" applyAlignment="1">
      <alignment horizontal="center" vertical="top" wrapText="1"/>
    </xf>
    <xf numFmtId="0" fontId="38" fillId="13" borderId="4" xfId="0" applyFont="1" applyFill="1" applyBorder="1" applyAlignment="1">
      <alignment horizontal="center" vertical="center" wrapText="1"/>
    </xf>
    <xf numFmtId="0" fontId="38" fillId="13" borderId="104" xfId="0" applyFont="1" applyFill="1" applyBorder="1" applyAlignment="1">
      <alignment horizontal="center" vertical="center" wrapText="1"/>
    </xf>
    <xf numFmtId="0" fontId="39" fillId="11" borderId="84" xfId="0" applyFont="1" applyFill="1" applyBorder="1" applyAlignment="1">
      <alignment horizontal="center" vertical="center" wrapText="1"/>
    </xf>
    <xf numFmtId="0" fontId="39" fillId="11" borderId="15" xfId="0" applyFont="1" applyFill="1" applyBorder="1" applyAlignment="1">
      <alignment horizontal="center" vertical="center" wrapText="1"/>
    </xf>
    <xf numFmtId="0" fontId="39" fillId="11" borderId="85" xfId="0" applyFont="1" applyFill="1" applyBorder="1" applyAlignment="1">
      <alignment horizontal="center" vertical="center" wrapText="1"/>
    </xf>
    <xf numFmtId="0" fontId="24" fillId="24" borderId="9" xfId="0" applyFont="1" applyFill="1" applyBorder="1" applyAlignment="1">
      <alignment horizontal="center" vertical="top" wrapText="1"/>
    </xf>
    <xf numFmtId="0" fontId="66" fillId="24" borderId="2" xfId="0" applyFont="1" applyFill="1" applyBorder="1" applyAlignment="1">
      <alignment horizontal="center" vertical="top" wrapText="1"/>
    </xf>
    <xf numFmtId="0" fontId="66" fillId="24" borderId="35" xfId="0" applyFont="1" applyFill="1" applyBorder="1" applyAlignment="1">
      <alignment horizontal="center" vertical="top" wrapText="1"/>
    </xf>
    <xf numFmtId="0" fontId="66" fillId="24" borderId="36" xfId="0" applyFont="1" applyFill="1" applyBorder="1" applyAlignment="1">
      <alignment horizontal="center" vertical="top" wrapText="1"/>
    </xf>
    <xf numFmtId="0" fontId="40" fillId="11" borderId="9" xfId="0" applyFont="1" applyFill="1" applyBorder="1" applyAlignment="1">
      <alignment horizontal="center" vertical="center" textRotation="90" wrapText="1"/>
    </xf>
    <xf numFmtId="0" fontId="40" fillId="11" borderId="10" xfId="0" applyFont="1" applyFill="1" applyBorder="1" applyAlignment="1">
      <alignment horizontal="center" vertical="center" textRotation="90" wrapText="1"/>
    </xf>
    <xf numFmtId="0" fontId="57" fillId="24" borderId="31" xfId="0" applyFont="1" applyFill="1" applyBorder="1" applyAlignment="1">
      <alignment horizontal="center" vertical="center" textRotation="90" wrapText="1"/>
    </xf>
    <xf numFmtId="0" fontId="57" fillId="24" borderId="44" xfId="0" applyFont="1" applyFill="1" applyBorder="1" applyAlignment="1">
      <alignment horizontal="center" vertical="center" textRotation="90" wrapText="1"/>
    </xf>
    <xf numFmtId="0" fontId="57" fillId="24" borderId="99" xfId="0" applyFont="1" applyFill="1" applyBorder="1" applyAlignment="1">
      <alignment horizontal="center" vertical="center" textRotation="90" wrapText="1"/>
    </xf>
    <xf numFmtId="0" fontId="57" fillId="24" borderId="9" xfId="0" applyFont="1" applyFill="1" applyBorder="1" applyAlignment="1">
      <alignment horizontal="center" vertical="center" textRotation="90" wrapText="1"/>
    </xf>
    <xf numFmtId="0" fontId="57" fillId="24" borderId="10" xfId="0" applyFont="1" applyFill="1" applyBorder="1" applyAlignment="1">
      <alignment horizontal="center" vertical="center" textRotation="90" wrapText="1"/>
    </xf>
    <xf numFmtId="0" fontId="22" fillId="7" borderId="1" xfId="0" applyFont="1" applyFill="1" applyBorder="1" applyAlignment="1">
      <alignment horizontal="justify" vertical="center" wrapText="1"/>
    </xf>
    <xf numFmtId="0" fontId="22" fillId="7" borderId="20" xfId="0" applyFont="1" applyFill="1" applyBorder="1" applyAlignment="1">
      <alignment horizontal="justify" vertical="center" wrapText="1"/>
    </xf>
    <xf numFmtId="17" fontId="40" fillId="11" borderId="31" xfId="0" applyNumberFormat="1" applyFont="1" applyFill="1" applyBorder="1" applyAlignment="1">
      <alignment horizontal="center" vertical="center" textRotation="90" wrapText="1"/>
    </xf>
    <xf numFmtId="0" fontId="40" fillId="11" borderId="44" xfId="0" applyFont="1" applyFill="1" applyBorder="1" applyAlignment="1">
      <alignment horizontal="center" vertical="center" textRotation="90" wrapText="1"/>
    </xf>
    <xf numFmtId="0" fontId="66" fillId="38" borderId="2" xfId="0" applyFont="1" applyFill="1" applyBorder="1" applyAlignment="1">
      <alignment horizontal="center" vertical="center" wrapText="1"/>
    </xf>
    <xf numFmtId="0" fontId="66" fillId="38" borderId="35" xfId="0" applyFont="1" applyFill="1" applyBorder="1" applyAlignment="1">
      <alignment horizontal="center" vertical="center" wrapText="1"/>
    </xf>
    <xf numFmtId="0" fontId="66" fillId="38" borderId="36" xfId="0" applyFont="1" applyFill="1" applyBorder="1" applyAlignment="1">
      <alignment horizontal="center" vertical="center" wrapText="1"/>
    </xf>
    <xf numFmtId="0" fontId="39" fillId="11" borderId="102" xfId="0" applyFont="1" applyFill="1" applyBorder="1" applyAlignment="1">
      <alignment horizontal="center" vertical="center" wrapText="1"/>
    </xf>
    <xf numFmtId="0" fontId="39" fillId="11" borderId="10" xfId="0" applyFont="1" applyFill="1" applyBorder="1" applyAlignment="1">
      <alignment horizontal="center" vertical="center" wrapText="1"/>
    </xf>
    <xf numFmtId="0" fontId="39" fillId="11" borderId="6" xfId="0"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1" xfId="0" applyFont="1" applyFill="1" applyBorder="1" applyAlignment="1">
      <alignment horizontal="center" vertical="center"/>
    </xf>
    <xf numFmtId="0" fontId="40" fillId="11" borderId="20" xfId="0" applyFont="1" applyFill="1" applyBorder="1" applyAlignment="1">
      <alignment horizontal="center" vertical="center"/>
    </xf>
    <xf numFmtId="0" fontId="40" fillId="11" borderId="16" xfId="0" applyFont="1" applyFill="1" applyBorder="1" applyAlignment="1">
      <alignment horizontal="center" vertical="center"/>
    </xf>
    <xf numFmtId="0" fontId="40" fillId="11" borderId="17" xfId="0" applyFont="1" applyFill="1" applyBorder="1" applyAlignment="1">
      <alignment horizontal="center" vertical="center"/>
    </xf>
    <xf numFmtId="0" fontId="40" fillId="11" borderId="18" xfId="0" applyFont="1" applyFill="1" applyBorder="1" applyAlignment="1">
      <alignment horizontal="center" vertical="center"/>
    </xf>
    <xf numFmtId="0" fontId="38" fillId="13" borderId="1" xfId="0" applyFont="1" applyFill="1" applyBorder="1" applyAlignment="1">
      <alignment horizontal="center" vertical="center" wrapText="1"/>
    </xf>
    <xf numFmtId="0" fontId="20" fillId="12" borderId="0" xfId="0" applyFont="1" applyFill="1" applyAlignment="1">
      <alignment horizontal="center" vertical="center" wrapText="1"/>
    </xf>
    <xf numFmtId="0" fontId="20" fillId="12" borderId="99" xfId="0" applyFont="1" applyFill="1" applyBorder="1" applyAlignment="1">
      <alignment horizontal="center" vertical="center" wrapText="1"/>
    </xf>
    <xf numFmtId="0" fontId="20" fillId="12" borderId="41" xfId="0" applyFont="1" applyFill="1" applyBorder="1" applyAlignment="1">
      <alignment horizontal="center" vertical="center" wrapText="1"/>
    </xf>
    <xf numFmtId="0" fontId="20" fillId="12" borderId="105" xfId="0" applyFont="1" applyFill="1" applyBorder="1" applyAlignment="1">
      <alignment horizontal="center" vertical="center" wrapText="1"/>
    </xf>
    <xf numFmtId="17" fontId="22"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40" fillId="11" borderId="48" xfId="0" applyFont="1" applyFill="1" applyBorder="1" applyAlignment="1">
      <alignment horizontal="center" vertical="center" textRotation="90" wrapText="1"/>
    </xf>
    <xf numFmtId="0" fontId="40" fillId="11" borderId="101" xfId="0" applyFont="1" applyFill="1" applyBorder="1" applyAlignment="1">
      <alignment horizontal="center" vertical="center" textRotation="90" wrapText="1"/>
    </xf>
    <xf numFmtId="0" fontId="27" fillId="13" borderId="47"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0" xfId="0" applyFont="1" applyFill="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39" fillId="11" borderId="103" xfId="0" applyFont="1" applyFill="1" applyBorder="1" applyAlignment="1">
      <alignment horizontal="center" vertical="center" wrapText="1"/>
    </xf>
    <xf numFmtId="0" fontId="39" fillId="11" borderId="44" xfId="0" applyFont="1" applyFill="1" applyBorder="1" applyAlignment="1">
      <alignment horizontal="center" vertical="center" wrapText="1"/>
    </xf>
    <xf numFmtId="0" fontId="39" fillId="11" borderId="29" xfId="0" applyFont="1" applyFill="1" applyBorder="1" applyAlignment="1">
      <alignment horizontal="center" vertical="center" wrapText="1"/>
    </xf>
    <xf numFmtId="0" fontId="39" fillId="11" borderId="100" xfId="0" applyFont="1" applyFill="1" applyBorder="1" applyAlignment="1">
      <alignment horizontal="center" vertical="center" wrapText="1"/>
    </xf>
    <xf numFmtId="0" fontId="39" fillId="11" borderId="101" xfId="0" applyFont="1" applyFill="1" applyBorder="1" applyAlignment="1">
      <alignment horizontal="center" vertical="center" wrapText="1"/>
    </xf>
    <xf numFmtId="0" fontId="39" fillId="11" borderId="49" xfId="0" applyFont="1" applyFill="1" applyBorder="1" applyAlignment="1">
      <alignment horizontal="center" vertical="center" wrapText="1"/>
    </xf>
    <xf numFmtId="0" fontId="40" fillId="11" borderId="16"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87" xfId="0" applyFont="1" applyFill="1" applyBorder="1" applyAlignment="1">
      <alignment horizontal="center" vertical="center" wrapText="1"/>
    </xf>
    <xf numFmtId="0" fontId="40" fillId="11" borderId="31" xfId="0" applyFont="1" applyFill="1" applyBorder="1" applyAlignment="1">
      <alignment horizontal="center" vertical="center" textRotation="90" wrapText="1"/>
    </xf>
    <xf numFmtId="0" fontId="57" fillId="24" borderId="86" xfId="0" applyFont="1" applyFill="1" applyBorder="1" applyAlignment="1">
      <alignment horizontal="center" vertical="center" textRotation="90" wrapText="1"/>
    </xf>
    <xf numFmtId="0" fontId="57" fillId="24" borderId="11" xfId="0" applyFont="1" applyFill="1" applyBorder="1" applyAlignment="1">
      <alignment horizontal="center" vertical="center" textRotation="90" wrapText="1"/>
    </xf>
    <xf numFmtId="0" fontId="65" fillId="17" borderId="31" xfId="0" applyFont="1" applyFill="1" applyBorder="1" applyAlignment="1">
      <alignment horizontal="justify" vertical="center" wrapText="1"/>
    </xf>
    <xf numFmtId="0" fontId="65" fillId="17" borderId="29" xfId="0" applyFont="1" applyFill="1" applyBorder="1" applyAlignment="1">
      <alignment horizontal="justify" vertical="center" wrapText="1"/>
    </xf>
    <xf numFmtId="0" fontId="65" fillId="17" borderId="9" xfId="0" applyFont="1" applyFill="1" applyBorder="1" applyAlignment="1">
      <alignment horizontal="left" vertical="center" wrapText="1"/>
    </xf>
    <xf numFmtId="0" fontId="65" fillId="17" borderId="6" xfId="0" applyFont="1" applyFill="1" applyBorder="1" applyAlignment="1">
      <alignment horizontal="left" vertical="center" wrapText="1"/>
    </xf>
    <xf numFmtId="0" fontId="39" fillId="11" borderId="33" xfId="0" applyFont="1" applyFill="1" applyBorder="1" applyAlignment="1">
      <alignment horizontal="center" vertical="center" wrapText="1"/>
    </xf>
    <xf numFmtId="0" fontId="39" fillId="11" borderId="0" xfId="0" applyFont="1" applyFill="1" applyAlignment="1">
      <alignment horizontal="center" vertical="center" wrapText="1"/>
    </xf>
    <xf numFmtId="0" fontId="39" fillId="11" borderId="41" xfId="0" applyFont="1" applyFill="1" applyBorder="1" applyAlignment="1">
      <alignment horizontal="center" vertical="center" wrapText="1"/>
    </xf>
    <xf numFmtId="0" fontId="39" fillId="11" borderId="112" xfId="0" applyFont="1" applyFill="1" applyBorder="1" applyAlignment="1">
      <alignment horizontal="center" vertical="center" wrapText="1"/>
    </xf>
    <xf numFmtId="0" fontId="3" fillId="9" borderId="15"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6" xfId="0" applyFont="1" applyFill="1" applyBorder="1" applyAlignment="1">
      <alignment horizontal="center" vertical="center"/>
    </xf>
    <xf numFmtId="0" fontId="19" fillId="7" borderId="13" xfId="0" applyFont="1" applyFill="1" applyBorder="1" applyAlignment="1">
      <alignment horizontal="left" vertical="top" wrapText="1"/>
    </xf>
    <xf numFmtId="0" fontId="19" fillId="7" borderId="0" xfId="0" applyFont="1" applyFill="1" applyAlignment="1">
      <alignment horizontal="left" vertical="top" wrapText="1"/>
    </xf>
    <xf numFmtId="0" fontId="19" fillId="7" borderId="14" xfId="0" applyFont="1" applyFill="1" applyBorder="1" applyAlignment="1">
      <alignment horizontal="left" vertical="top" wrapText="1"/>
    </xf>
    <xf numFmtId="0" fontId="3" fillId="9" borderId="13" xfId="3" applyFont="1" applyFill="1" applyBorder="1" applyAlignment="1">
      <alignment horizontal="center" vertical="center" wrapText="1"/>
    </xf>
    <xf numFmtId="0" fontId="3" fillId="9" borderId="14" xfId="3" applyFont="1" applyFill="1" applyBorder="1" applyAlignment="1">
      <alignment horizontal="center" vertical="center" wrapText="1"/>
    </xf>
    <xf numFmtId="0" fontId="10" fillId="9" borderId="27" xfId="0" applyFont="1" applyFill="1" applyBorder="1" applyAlignment="1">
      <alignment horizontal="center"/>
    </xf>
    <xf numFmtId="0" fontId="11" fillId="8" borderId="24" xfId="0" applyFont="1" applyFill="1" applyBorder="1" applyAlignment="1">
      <alignment horizontal="center" vertical="center" wrapText="1"/>
    </xf>
    <xf numFmtId="0" fontId="11" fillId="8" borderId="98" xfId="0" applyFont="1" applyFill="1" applyBorder="1" applyAlignment="1">
      <alignment horizontal="center" vertical="center" wrapText="1"/>
    </xf>
    <xf numFmtId="0" fontId="3" fillId="9" borderId="7" xfId="3" applyFont="1" applyFill="1" applyBorder="1" applyAlignment="1">
      <alignment horizontal="center" vertical="center" wrapText="1"/>
    </xf>
    <xf numFmtId="0" fontId="5" fillId="9" borderId="4" xfId="3" applyFont="1" applyFill="1" applyBorder="1" applyAlignment="1">
      <alignment horizontal="center" vertical="center" wrapText="1"/>
    </xf>
    <xf numFmtId="0" fontId="10" fillId="9" borderId="37" xfId="0" applyFont="1" applyFill="1" applyBorder="1" applyAlignment="1">
      <alignment horizontal="center"/>
    </xf>
    <xf numFmtId="0" fontId="0" fillId="0" borderId="31" xfId="0"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cellXfs>
  <cellStyles count="19">
    <cellStyle name="BodyStyle" xfId="16"/>
    <cellStyle name="Currency" xfId="17"/>
    <cellStyle name="Énfasis1 2" xfId="11"/>
    <cellStyle name="Énfasis2 2" xfId="12"/>
    <cellStyle name="HeaderStyle" xfId="15"/>
    <cellStyle name="Hipervínculo" xfId="5" builtinId="8"/>
    <cellStyle name="Hipervínculo 2" xfId="6"/>
    <cellStyle name="Incorrecto 2" xfId="13"/>
    <cellStyle name="Millares" xfId="1" builtinId="3"/>
    <cellStyle name="Millares [0]" xfId="18" builtinId="6"/>
    <cellStyle name="Moneda 2" xfId="7"/>
    <cellStyle name="Moneda 3" xfId="8"/>
    <cellStyle name="Normal" xfId="0" builtinId="0"/>
    <cellStyle name="Normal 2" xfId="9"/>
    <cellStyle name="Normal 2 2" xfId="4"/>
    <cellStyle name="Normal 3" xfId="3"/>
    <cellStyle name="Normal 4" xfId="14"/>
    <cellStyle name="Normal 7" xfId="10"/>
    <cellStyle name="Porcentaje" xfId="2" builtinId="5"/>
  </cellStyles>
  <dxfs count="151">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b val="0"/>
        <i val="0"/>
        <strike val="0"/>
        <condense val="0"/>
        <extend val="0"/>
        <outline val="0"/>
        <shadow val="0"/>
        <u val="none"/>
        <vertAlign val="baseline"/>
        <sz val="11"/>
        <color auto="1"/>
        <name val="Century Gothic"/>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border diagonalUp="0" diagonalDown="0" outline="0">
        <left style="thin">
          <color indexed="64"/>
        </left>
        <right style="thin">
          <color indexed="64"/>
        </right>
        <top style="thin">
          <color indexed="64"/>
        </top>
        <bottom/>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entury Gothic"/>
        <scheme val="none"/>
      </font>
      <border diagonalUp="0" diagonalDown="0" outline="0">
        <left/>
        <right style="thin">
          <color auto="1"/>
        </right>
        <top style="thin">
          <color auto="1"/>
        </top>
        <bottom/>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99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5.gif"/><Relationship Id="rId5" Type="http://schemas.openxmlformats.org/officeDocument/2006/relationships/image" Target="../media/image12.png"/><Relationship Id="rId4"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gif"/><Relationship Id="rId1" Type="http://schemas.openxmlformats.org/officeDocument/2006/relationships/hyperlink" Target="#'1. Horas requeridas PAAI'!A1"/></Relationships>
</file>

<file path=xl/drawings/_rels/drawing1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MENU CAJA DE HERRAMIENTAS'!A1"/><Relationship Id="rId1" Type="http://schemas.openxmlformats.org/officeDocument/2006/relationships/image" Target="../media/image5.gif"/></Relationships>
</file>

<file path=xl/drawings/_rels/drawing13.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5.gif"/><Relationship Id="rId1" Type="http://schemas.openxmlformats.org/officeDocument/2006/relationships/hyperlink" Target="#'MENU CAJA DE HERRAMIENTAS'!A1"/><Relationship Id="rId5" Type="http://schemas.openxmlformats.org/officeDocument/2006/relationships/image" Target="../media/image12.png"/><Relationship Id="rId4" Type="http://schemas.openxmlformats.org/officeDocument/2006/relationships/image" Target="../media/image7.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9.gi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MENU CAJA DE HERRAMIENTAS'!A1"/></Relationships>
</file>

<file path=xl/drawings/_rels/drawing5.xml.rels><?xml version="1.0" encoding="UTF-8" standalone="yes"?>
<Relationships xmlns="http://schemas.openxmlformats.org/package/2006/relationships"><Relationship Id="rId2" Type="http://schemas.openxmlformats.org/officeDocument/2006/relationships/image" Target="../media/image6.gif"/><Relationship Id="rId1" Type="http://schemas.openxmlformats.org/officeDocument/2006/relationships/hyperlink" Target="#'CONOCIMIENTO ENT'!A1"/></Relationships>
</file>

<file path=xl/drawings/_rels/drawing6.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7.png"/><Relationship Id="rId1" Type="http://schemas.openxmlformats.org/officeDocument/2006/relationships/hyperlink" Target="#'MIPPA 1'!A1"/><Relationship Id="rId5" Type="http://schemas.openxmlformats.org/officeDocument/2006/relationships/image" Target="../media/image8.png"/><Relationship Id="rId4" Type="http://schemas.openxmlformats.org/officeDocument/2006/relationships/image" Target="../media/image5.gif"/></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MIPPA 1.1'!A1"/><Relationship Id="rId1" Type="http://schemas.openxmlformats.org/officeDocument/2006/relationships/image" Target="../media/image9.gif"/><Relationship Id="rId6" Type="http://schemas.openxmlformats.org/officeDocument/2006/relationships/image" Target="../media/image8.png"/><Relationship Id="rId5" Type="http://schemas.openxmlformats.org/officeDocument/2006/relationships/image" Target="../media/image10.png"/><Relationship Id="rId4" Type="http://schemas.openxmlformats.org/officeDocument/2006/relationships/hyperlink" Target="#'MENU CAJA DE HERRAMIENTAS'!A1"/></Relationships>
</file>

<file path=xl/drawings/_rels/drawing8.xml.rels><?xml version="1.0" encoding="UTF-8" standalone="yes"?>
<Relationships xmlns="http://schemas.openxmlformats.org/package/2006/relationships"><Relationship Id="rId2" Type="http://schemas.openxmlformats.org/officeDocument/2006/relationships/image" Target="../media/image6.gif"/><Relationship Id="rId1" Type="http://schemas.openxmlformats.org/officeDocument/2006/relationships/hyperlink" Target="#'PRIORIZACI&#211;N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MENU CAJA DE HERRAMIENTAS'!A1"/><Relationship Id="rId1" Type="http://schemas.openxmlformats.org/officeDocument/2006/relationships/image" Target="../media/image9.gi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0</xdr:row>
      <xdr:rowOff>209549</xdr:rowOff>
    </xdr:to>
    <xdr:pic>
      <xdr:nvPicPr>
        <xdr:cNvPr id="2" name="1 Imagen" descr="Resultado de imagen para gif home">
          <a:extLst>
            <a:ext uri="{FF2B5EF4-FFF2-40B4-BE49-F238E27FC236}">
              <a16:creationId xmlns:a16="http://schemas.microsoft.com/office/drawing/2014/main"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0</xdr:row>
      <xdr:rowOff>733424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1447800</xdr:colOff>
      <xdr:row>124</xdr:row>
      <xdr:rowOff>1905</xdr:rowOff>
    </xdr:to>
    <xdr:pic>
      <xdr:nvPicPr>
        <xdr:cNvPr id="4" name="3 Imagen">
          <a:hlinkClick xmlns:r="http://schemas.openxmlformats.org/officeDocument/2006/relationships" r:id="rId3"/>
          <a:extLst>
            <a:ext uri="{FF2B5EF4-FFF2-40B4-BE49-F238E27FC236}">
              <a16:creationId xmlns:a16="http://schemas.microsoft.com/office/drawing/2014/main" id="{00000000-0008-0000-0A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9525</xdr:colOff>
      <xdr:row>0</xdr:row>
      <xdr:rowOff>123826</xdr:rowOff>
    </xdr:from>
    <xdr:to>
      <xdr:col>0</xdr:col>
      <xdr:colOff>1731080</xdr:colOff>
      <xdr:row>0</xdr:row>
      <xdr:rowOff>695326</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9525" y="123826"/>
          <a:ext cx="1721555" cy="571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id="{00000000-0008-0000-0C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C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8659</xdr:colOff>
      <xdr:row>1</xdr:row>
      <xdr:rowOff>0</xdr:rowOff>
    </xdr:to>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a:stretch>
          <a:fillRect/>
        </a:stretch>
      </xdr:blipFill>
      <xdr:spPr>
        <a:xfrm>
          <a:off x="0" y="0"/>
          <a:ext cx="1749136" cy="9178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20</xdr:col>
      <xdr:colOff>635000</xdr:colOff>
      <xdr:row>1</xdr:row>
      <xdr:rowOff>170962</xdr:rowOff>
    </xdr:from>
    <xdr:to>
      <xdr:col>22</xdr:col>
      <xdr:colOff>311759</xdr:colOff>
      <xdr:row>4</xdr:row>
      <xdr:rowOff>20759</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512883</xdr:colOff>
      <xdr:row>98</xdr:row>
      <xdr:rowOff>146537</xdr:rowOff>
    </xdr:from>
    <xdr:to>
      <xdr:col>22</xdr:col>
      <xdr:colOff>730294</xdr:colOff>
      <xdr:row>102</xdr:row>
      <xdr:rowOff>134327</xdr:rowOff>
    </xdr:to>
    <xdr:pic>
      <xdr:nvPicPr>
        <xdr:cNvPr id="3" name="2 Imagen">
          <a:hlinkClick xmlns:r="http://schemas.openxmlformats.org/officeDocument/2006/relationships" r:id="rId3"/>
          <a:extLst>
            <a:ext uri="{FF2B5EF4-FFF2-40B4-BE49-F238E27FC236}">
              <a16:creationId xmlns:a16="http://schemas.microsoft.com/office/drawing/2014/main" id="{00000000-0008-0000-0D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0</xdr:col>
      <xdr:colOff>-42752</xdr:colOff>
      <xdr:row>0</xdr:row>
      <xdr:rowOff>-15335</xdr:rowOff>
    </xdr:from>
    <xdr:to>
      <xdr:col>1</xdr:col>
      <xdr:colOff>7657960</xdr:colOff>
      <xdr:row>5</xdr:row>
      <xdr:rowOff>91536</xdr:rowOff>
    </xdr:to>
    <xdr:pic>
      <xdr:nvPicPr>
        <xdr:cNvPr id="6" name="Imagen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5"/>
        <a:stretch>
          <a:fillRect/>
        </a:stretch>
      </xdr:blipFill>
      <xdr:spPr>
        <a:xfrm>
          <a:off x="-42752" y="-15335"/>
          <a:ext cx="8635894" cy="30977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16</xdr:col>
      <xdr:colOff>1047750</xdr:colOff>
      <xdr:row>4</xdr:row>
      <xdr:rowOff>161925</xdr:rowOff>
    </xdr:to>
    <xdr:pic>
      <xdr:nvPicPr>
        <xdr:cNvPr id="2" name="Imagen 1" descr="Resultado de imagen para Logo bogot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xdr:row>
      <xdr:rowOff>0</xdr:rowOff>
    </xdr:from>
    <xdr:to>
      <xdr:col>2</xdr:col>
      <xdr:colOff>19050</xdr:colOff>
      <xdr:row>4</xdr:row>
      <xdr:rowOff>190500</xdr:rowOff>
    </xdr:to>
    <xdr:pic>
      <xdr:nvPicPr>
        <xdr:cNvPr id="5" name="Imagen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a:stretch>
          <a:fillRect/>
        </a:stretch>
      </xdr:blipFill>
      <xdr:spPr>
        <a:xfrm>
          <a:off x="323850" y="200025"/>
          <a:ext cx="3248025"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102576</xdr:colOff>
      <xdr:row>22</xdr:row>
      <xdr:rowOff>168519</xdr:rowOff>
    </xdr:from>
    <xdr:to>
      <xdr:col>8</xdr:col>
      <xdr:colOff>26376</xdr:colOff>
      <xdr:row>24</xdr:row>
      <xdr:rowOff>71758</xdr:rowOff>
    </xdr:to>
    <xdr:sp macro="" textlink="">
      <xdr:nvSpPr>
        <xdr:cNvPr id="2" name="Título 4">
          <a:extLst>
            <a:ext uri="{FF2B5EF4-FFF2-40B4-BE49-F238E27FC236}">
              <a16:creationId xmlns:a16="http://schemas.microsoft.com/office/drawing/2014/main" id="{00000000-0008-0000-0100-000002000000}"/>
            </a:ext>
          </a:extLst>
        </xdr:cNvPr>
        <xdr:cNvSpPr>
          <a:spLocks noGrp="1"/>
        </xdr:cNvSpPr>
      </xdr:nvSpPr>
      <xdr:spPr>
        <a:xfrm>
          <a:off x="864576" y="6169269"/>
          <a:ext cx="9141069" cy="284239"/>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b="1" kern="1200">
              <a:solidFill>
                <a:schemeClr val="tx1"/>
              </a:solidFill>
              <a:latin typeface="Arial" panose="020B0604020202020204" pitchFamily="34" charset="0"/>
              <a:ea typeface="+mj-ea"/>
              <a:cs typeface="Arial" panose="020B0604020202020204" pitchFamily="34" charset="0"/>
            </a:defRPr>
          </a:lvl1pPr>
        </a:lstStyle>
        <a:p>
          <a:r>
            <a:rPr lang="es-CO" sz="2000"/>
            <a:t>Indicadores historicos de Gestión Oficina de Control Interno</a:t>
          </a:r>
          <a:endParaRPr lang="es-ES" sz="2000"/>
        </a:p>
      </xdr:txBody>
    </xdr:sp>
    <xdr:clientData/>
  </xdr:twoCellAnchor>
  <xdr:twoCellAnchor editAs="oneCell">
    <xdr:from>
      <xdr:col>1</xdr:col>
      <xdr:colOff>299359</xdr:colOff>
      <xdr:row>1</xdr:row>
      <xdr:rowOff>13608</xdr:rowOff>
    </xdr:from>
    <xdr:to>
      <xdr:col>10</xdr:col>
      <xdr:colOff>695012</xdr:colOff>
      <xdr:row>19</xdr:row>
      <xdr:rowOff>20781</xdr:rowOff>
    </xdr:to>
    <xdr:pic>
      <xdr:nvPicPr>
        <xdr:cNvPr id="4" name="Imagen 3"/>
        <xdr:cNvPicPr>
          <a:picLocks noChangeAspect="1"/>
        </xdr:cNvPicPr>
      </xdr:nvPicPr>
      <xdr:blipFill>
        <a:blip xmlns:r="http://schemas.openxmlformats.org/officeDocument/2006/relationships" r:embed="rId1"/>
        <a:stretch>
          <a:fillRect/>
        </a:stretch>
      </xdr:blipFill>
      <xdr:spPr>
        <a:xfrm>
          <a:off x="1061359" y="204108"/>
          <a:ext cx="9416142" cy="5259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596153</xdr:colOff>
      <xdr:row>5</xdr:row>
      <xdr:rowOff>185458</xdr:rowOff>
    </xdr:from>
    <xdr:to>
      <xdr:col>18</xdr:col>
      <xdr:colOff>702751</xdr:colOff>
      <xdr:row>43</xdr:row>
      <xdr:rowOff>167416</xdr:rowOff>
    </xdr:to>
    <xdr:pic>
      <xdr:nvPicPr>
        <xdr:cNvPr id="2" name="Imagen 1"/>
        <xdr:cNvPicPr>
          <a:picLocks noChangeAspect="1"/>
        </xdr:cNvPicPr>
      </xdr:nvPicPr>
      <xdr:blipFill>
        <a:blip xmlns:r="http://schemas.openxmlformats.org/officeDocument/2006/relationships" r:embed="rId1"/>
        <a:stretch>
          <a:fillRect/>
        </a:stretch>
      </xdr:blipFill>
      <xdr:spPr>
        <a:xfrm>
          <a:off x="1358153" y="1137958"/>
          <a:ext cx="13060598" cy="7220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id="{00000000-0008-0000-05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xdr:colOff>
      <xdr:row>0</xdr:row>
      <xdr:rowOff>38101</xdr:rowOff>
    </xdr:from>
    <xdr:to>
      <xdr:col>0</xdr:col>
      <xdr:colOff>1595919</xdr:colOff>
      <xdr:row>0</xdr:row>
      <xdr:rowOff>857251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5"/>
        <a:stretch>
          <a:fillRect/>
        </a:stretch>
      </xdr:blipFill>
      <xdr:spPr>
        <a:xfrm>
          <a:off x="9524" y="38101"/>
          <a:ext cx="1586395" cy="819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105</xdr:row>
      <xdr:rowOff>85725</xdr:rowOff>
    </xdr:from>
    <xdr:to>
      <xdr:col>1</xdr:col>
      <xdr:colOff>2085975</xdr:colOff>
      <xdr:row>109</xdr:row>
      <xdr:rowOff>0</xdr:rowOff>
    </xdr:to>
    <xdr:pic>
      <xdr:nvPicPr>
        <xdr:cNvPr id="3" name="2 Imagen">
          <a:hlinkClick xmlns:r="http://schemas.openxmlformats.org/officeDocument/2006/relationships" r:id="rId2"/>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16</xdr:col>
      <xdr:colOff>891693</xdr:colOff>
      <xdr:row>4</xdr:row>
      <xdr:rowOff>61658</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twoCellAnchor editAs="oneCell">
    <xdr:from>
      <xdr:col>1</xdr:col>
      <xdr:colOff>27214</xdr:colOff>
      <xdr:row>0</xdr:row>
      <xdr:rowOff>163285</xdr:rowOff>
    </xdr:from>
    <xdr:to>
      <xdr:col>2</xdr:col>
      <xdr:colOff>13607</xdr:colOff>
      <xdr:row>4</xdr:row>
      <xdr:rowOff>208307</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6"/>
        <a:stretch>
          <a:fillRect/>
        </a:stretch>
      </xdr:blipFill>
      <xdr:spPr>
        <a:xfrm>
          <a:off x="326571" y="163285"/>
          <a:ext cx="3238500" cy="8478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twoCellAnchor editAs="oneCell">
    <xdr:from>
      <xdr:col>0</xdr:col>
      <xdr:colOff>0</xdr:colOff>
      <xdr:row>0</xdr:row>
      <xdr:rowOff>190501</xdr:rowOff>
    </xdr:from>
    <xdr:to>
      <xdr:col>1</xdr:col>
      <xdr:colOff>0</xdr:colOff>
      <xdr:row>5</xdr:row>
      <xdr:rowOff>393</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4"/>
        <a:stretch>
          <a:fillRect/>
        </a:stretch>
      </xdr:blipFill>
      <xdr:spPr>
        <a:xfrm>
          <a:off x="0" y="190501"/>
          <a:ext cx="2571750" cy="7814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jempresarial sas jjempresarial sas" refreshedDate="45259.493064351853" createdVersion="4" refreshedVersion="5" minRefreshableVersion="3" recordCount="94">
  <cacheSource type="worksheet">
    <worksheetSource name="Tabla1"/>
  </cacheSource>
  <cacheFields count="9">
    <cacheField name="No" numFmtId="0">
      <sharedItems containsSemiMixedTypes="0" containsString="0" containsNumber="1" containsInteger="1" minValue="1" maxValue="87"/>
    </cacheField>
    <cacheField name="TIPO DE TRABAJO DE AUDITORÍA " numFmtId="0">
      <sharedItems containsBlank="1" count="5">
        <s v="Informe de Auditoria"/>
        <s v="Informe de Ley"/>
        <s v="Consultoría Procesos"/>
        <s v="Informe de Seguimiento"/>
        <m/>
      </sharedItems>
    </cacheField>
    <cacheField name="Descripción" numFmtId="0">
      <sharedItems containsBlank="1" containsMixedTypes="1" containsNumber="1" containsInteger="1" minValue="0" maxValue="0" longText="1"/>
    </cacheField>
    <cacheField name="Planeacion Auditoria/Solicitud de Informaciòn" numFmtId="0">
      <sharedItems containsString="0" containsBlank="1" containsNumber="1" containsInteger="1" minValue="1" maxValue="72"/>
    </cacheField>
    <cacheField name="Ejecucion  Auditoria/Análisis de informaciòn" numFmtId="0">
      <sharedItems containsString="0" containsBlank="1" containsNumber="1" containsInteger="1" minValue="1" maxValue="280"/>
    </cacheField>
    <cacheField name="Informe de Auditoria /Seguimiento" numFmtId="0">
      <sharedItems containsBlank="1" containsMixedTypes="1" containsNumber="1" containsInteger="1" minValue="0" maxValue="80"/>
    </cacheField>
    <cacheField name="Total horas por trabajo de auditoría" numFmtId="0">
      <sharedItems containsSemiMixedTypes="0" containsString="0" containsNumber="1" containsInteger="1" minValue="0" maxValue="8045"/>
    </cacheField>
    <cacheField name="# Informes x año" numFmtId="0">
      <sharedItems containsString="0" containsBlank="1" containsNumber="1" containsInteger="1" minValue="1" maxValue="858"/>
    </cacheField>
    <cacheField name="Horas x trabajo de auditoría" numFmtId="0">
      <sharedItems containsSemiMixedTypes="0" containsString="0" containsNumber="1" containsInteger="1" minValue="0" maxValue="161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4">
  <r>
    <n v="1"/>
    <x v="0"/>
    <s v="Seguimiento a SARLAF"/>
    <n v="16"/>
    <n v="280"/>
    <n v="24"/>
    <n v="320"/>
    <n v="1"/>
    <n v="320"/>
  </r>
  <r>
    <n v="2"/>
    <x v="0"/>
    <s v="Revisión de Polizas de Seguro Corporativa"/>
    <n v="16"/>
    <n v="280"/>
    <n v="24"/>
    <n v="320"/>
    <n v="1"/>
    <n v="320"/>
  </r>
  <r>
    <n v="3"/>
    <x v="0"/>
    <n v="0"/>
    <n v="16"/>
    <n v="280"/>
    <n v="24"/>
    <n v="320"/>
    <n v="1"/>
    <n v="320"/>
  </r>
  <r>
    <n v="4"/>
    <x v="0"/>
    <n v="0"/>
    <n v="16"/>
    <n v="280"/>
    <n v="24"/>
    <n v="320"/>
    <n v="1"/>
    <n v="320"/>
  </r>
  <r>
    <n v="5"/>
    <x v="0"/>
    <n v="0"/>
    <n v="16"/>
    <n v="280"/>
    <n v="24"/>
    <n v="320"/>
    <n v="1"/>
    <n v="320"/>
  </r>
  <r>
    <n v="6"/>
    <x v="0"/>
    <n v="0"/>
    <n v="16"/>
    <n v="280"/>
    <n v="24"/>
    <n v="320"/>
    <n v="1"/>
    <n v="320"/>
  </r>
  <r>
    <n v="7"/>
    <x v="0"/>
    <n v="0"/>
    <n v="16"/>
    <n v="280"/>
    <n v="24"/>
    <n v="320"/>
    <n v="1"/>
    <n v="320"/>
  </r>
  <r>
    <n v="8"/>
    <x v="0"/>
    <n v="0"/>
    <n v="16"/>
    <n v="280"/>
    <n v="24"/>
    <n v="320"/>
    <n v="1"/>
    <n v="320"/>
  </r>
  <r>
    <n v="9"/>
    <x v="0"/>
    <n v="0"/>
    <n v="16"/>
    <n v="280"/>
    <n v="24"/>
    <n v="320"/>
    <n v="1"/>
    <n v="320"/>
  </r>
  <r>
    <n v="10"/>
    <x v="0"/>
    <n v="0"/>
    <n v="16"/>
    <n v="280"/>
    <n v="24"/>
    <n v="320"/>
    <n v="1"/>
    <n v="320"/>
  </r>
  <r>
    <n v="11"/>
    <x v="0"/>
    <n v="0"/>
    <n v="16"/>
    <n v="280"/>
    <n v="24"/>
    <n v="320"/>
    <n v="1"/>
    <n v="320"/>
  </r>
  <r>
    <n v="12"/>
    <x v="0"/>
    <n v="0"/>
    <n v="16"/>
    <n v="280"/>
    <n v="24"/>
    <n v="320"/>
    <n v="1"/>
    <n v="320"/>
  </r>
  <r>
    <n v="13"/>
    <x v="0"/>
    <n v="0"/>
    <n v="16"/>
    <n v="280"/>
    <n v="24"/>
    <n v="320"/>
    <n v="1"/>
    <n v="320"/>
  </r>
  <r>
    <n v="7"/>
    <x v="0"/>
    <s v="Asesoria y seguimiento a la Implementación del Sistema de Gestión de Calidad bajo concepto del estándar NTC ISO 9001:2015"/>
    <n v="72"/>
    <n v="200"/>
    <n v="80"/>
    <n v="352"/>
    <n v="1"/>
    <n v="352"/>
  </r>
  <r>
    <n v="8"/>
    <x v="0"/>
    <s v="Verificacion de la Conformidad del  Sistema de Gestión de la Calidad bajo el concepto del estándar NTC ISO 9001:2015 de la Empresa (Ciclo  Auditorias Internas de Calidad 2022)."/>
    <n v="72"/>
    <n v="200"/>
    <n v="80"/>
    <n v="352"/>
    <n v="1"/>
    <n v="352"/>
  </r>
  <r>
    <n v="9"/>
    <x v="1"/>
    <s v="Seguimiento y Control de Acciones de Plan Anticorrupción y Atención al Ciudadano"/>
    <n v="32"/>
    <n v="40"/>
    <n v="8"/>
    <n v="80"/>
    <n v="3"/>
    <n v="240"/>
  </r>
  <r>
    <n v="10"/>
    <x v="1"/>
    <s v="Seguimiento Estrategia Anti trámite"/>
    <n v="32"/>
    <n v="40"/>
    <n v="8"/>
    <n v="80"/>
    <n v="1"/>
    <n v="80"/>
  </r>
  <r>
    <n v="11"/>
    <x v="1"/>
    <s v="Seguimientos a publicaciones de la Contratación en la Plataforma SECOP"/>
    <n v="32"/>
    <n v="40"/>
    <n v="8"/>
    <n v="80"/>
    <n v="3"/>
    <n v="240"/>
  </r>
  <r>
    <n v="12"/>
    <x v="1"/>
    <s v="Informe de evaluación del Sistema de Control Interno Contable"/>
    <n v="40"/>
    <n v="56"/>
    <n v="12"/>
    <n v="108"/>
    <n v="1"/>
    <n v="108"/>
  </r>
  <r>
    <n v="13"/>
    <x v="1"/>
    <s v="Informe Semestral de Evaluación Independiente del Sistema de Control Interno"/>
    <n v="40"/>
    <n v="56"/>
    <n v="12"/>
    <n v="108"/>
    <n v="1"/>
    <n v="108"/>
  </r>
  <r>
    <n v="14"/>
    <x v="1"/>
    <s v="Seguimiento Comité de Defensa Judicial, Conciliación y Repetición y SIPROJ"/>
    <n v="28"/>
    <n v="56"/>
    <n v="12"/>
    <n v="96"/>
    <n v="2"/>
    <n v="192"/>
  </r>
  <r>
    <n v="15"/>
    <x v="1"/>
    <s v="Seguimiento a Directrices para Prevenir Conductas Irregulares sobre Incumplimiento de Manuales de Funciones y de Procedimientos y Pérdida de Elementos y Documentos Público. Directiva 008 de 2021"/>
    <n v="24"/>
    <n v="24"/>
    <n v="8"/>
    <n v="56"/>
    <n v="2"/>
    <n v="112"/>
  </r>
  <r>
    <n v="16"/>
    <x v="1"/>
    <s v="Seguimiento a Peticiones, Quejas, Reclamos, Sugerencias y Felicitaciones - Derechos de Petición"/>
    <n v="40"/>
    <n v="56"/>
    <n v="12"/>
    <n v="108"/>
    <n v="2"/>
    <n v="216"/>
  </r>
  <r>
    <n v="17"/>
    <x v="1"/>
    <s v="Seguimiento Cuadro resumen auditorías externas e internas  realizadas"/>
    <n v="40"/>
    <n v="56"/>
    <n v="12"/>
    <n v="108"/>
    <n v="1"/>
    <n v="108"/>
  </r>
  <r>
    <n v="18"/>
    <x v="1"/>
    <s v="Seguimiento Estado de Cumplimiento Metas Plan de Desarrollo e Indicadores"/>
    <n v="40"/>
    <n v="56"/>
    <n v="12"/>
    <n v="108"/>
    <n v="4"/>
    <n v="432"/>
  </r>
  <r>
    <n v="19"/>
    <x v="1"/>
    <s v="Seguimiento de Acuerdos de Gestión"/>
    <n v="48"/>
    <n v="48"/>
    <n v="12"/>
    <n v="108"/>
    <n v="2"/>
    <n v="216"/>
  </r>
  <r>
    <n v="20"/>
    <x v="1"/>
    <s v="Seguimiento a Verificación, Recomendaciones y Resultados sobre Cumplimiento de normas en materia de Derechos de Autor sobre Software "/>
    <n v="20"/>
    <n v="24"/>
    <n v="16"/>
    <n v="60"/>
    <n v="1"/>
    <n v="60"/>
  </r>
  <r>
    <n v="21"/>
    <x v="1"/>
    <s v="Informe Integral de Gestión OCI "/>
    <n v="32"/>
    <n v="40"/>
    <n v="8"/>
    <n v="80"/>
    <n v="2"/>
    <n v="160"/>
  </r>
  <r>
    <n v="22"/>
    <x v="1"/>
    <s v="Seguimiento a la Austeridad en el Gasto"/>
    <n v="40"/>
    <n v="40"/>
    <n v="12"/>
    <n v="92"/>
    <n v="4"/>
    <n v="368"/>
  </r>
  <r>
    <n v="23"/>
    <x v="1"/>
    <s v="Evaluación de los Riesgos  de Corrupción"/>
    <n v="48"/>
    <n v="40"/>
    <n v="12"/>
    <n v="100"/>
    <n v="3"/>
    <n v="300"/>
  </r>
  <r>
    <n v="24"/>
    <x v="1"/>
    <s v="Evaluación de los Riesgos  de Gestión"/>
    <n v="24"/>
    <n v="20"/>
    <n v="6"/>
    <n v="50"/>
    <n v="2"/>
    <n v="100"/>
  </r>
  <r>
    <n v="25"/>
    <x v="1"/>
    <s v="Evaluación y Seguimiento Implementación MIPG  7 dimensiones y 18 políticas - e informes FURAG."/>
    <n v="64"/>
    <n v="40"/>
    <n v="40"/>
    <n v="144"/>
    <n v="1"/>
    <n v="144"/>
  </r>
  <r>
    <n v="26"/>
    <x v="1"/>
    <s v="Seguimiento Informes Gobierno Digital"/>
    <n v="20"/>
    <n v="24"/>
    <n v="16"/>
    <n v="60"/>
    <n v="1"/>
    <n v="60"/>
  </r>
  <r>
    <n v="27"/>
    <x v="1"/>
    <s v="Seguimiento Comité de Sostenibilidad Contable"/>
    <n v="40"/>
    <n v="56"/>
    <n v="12"/>
    <n v="108"/>
    <n v="1"/>
    <n v="108"/>
  </r>
  <r>
    <n v="28"/>
    <x v="1"/>
    <s v="Seguimiento a la implementación  del Código de Integridad de la Empresa vigencia 2021"/>
    <n v="32"/>
    <n v="40"/>
    <n v="8"/>
    <n v="80"/>
    <n v="1"/>
    <n v="80"/>
  </r>
  <r>
    <n v="29"/>
    <x v="1"/>
    <s v="Seguimiento a la implementación del código de integridad de la Empresa vigencia 2022_x000a_Cumplimiento y eficacia de los programas de transparencia y ética empresarial. "/>
    <n v="32"/>
    <n v="40"/>
    <n v="8"/>
    <n v="80"/>
    <n v="1"/>
    <n v="80"/>
  </r>
  <r>
    <n v="30"/>
    <x v="1"/>
    <s v="Seguimiento Reporte - Ley e índice de Transparencia y Acceso a la Información - ITA."/>
    <n v="32"/>
    <n v="40"/>
    <n v="8"/>
    <n v="80"/>
    <n v="1"/>
    <n v="80"/>
  </r>
  <r>
    <n v="31"/>
    <x v="1"/>
    <s v="Campaña de fomento de Autocontrol"/>
    <n v="40"/>
    <n v="20"/>
    <n v="32"/>
    <n v="92"/>
    <n v="2"/>
    <n v="184"/>
  </r>
  <r>
    <n v="32"/>
    <x v="1"/>
    <s v="Prestar los servicios de asesoría y acompañamiento requeridos"/>
    <n v="2"/>
    <n v="5"/>
    <n v="0"/>
    <n v="7"/>
    <n v="10"/>
    <n v="70"/>
  </r>
  <r>
    <n v="33"/>
    <x v="1"/>
    <s v="Diligenciamiento Encuestas Gobierno Corporativo - Veeduría Distrital."/>
    <n v="1"/>
    <n v="1"/>
    <n v="0"/>
    <n v="2"/>
    <n v="3"/>
    <n v="6"/>
  </r>
  <r>
    <n v="34"/>
    <x v="1"/>
    <s v="Revisión Código de Ética del Auditor Interno, Estatuto Auditoría Interna."/>
    <n v="32"/>
    <n v="40"/>
    <n v="8"/>
    <n v="80"/>
    <n v="1"/>
    <n v="80"/>
  </r>
  <r>
    <n v="35"/>
    <x v="1"/>
    <s v="Activos de Información y Funcionamiento Software que maneja la Empresa"/>
    <n v="32"/>
    <n v="40"/>
    <n v="8"/>
    <n v="80"/>
    <n v="1"/>
    <n v="80"/>
  </r>
  <r>
    <n v="36"/>
    <x v="1"/>
    <s v="Seguimiento líneas de Defensa"/>
    <n v="32"/>
    <n v="40"/>
    <n v="8"/>
    <n v="80"/>
    <n v="1"/>
    <n v="80"/>
  </r>
  <r>
    <n v="37"/>
    <x v="1"/>
    <s v="Seguimiento a la actualización de bases de datos en RNBD"/>
    <n v="32"/>
    <n v="40"/>
    <n v="8"/>
    <n v="80"/>
    <n v="1"/>
    <n v="80"/>
  </r>
  <r>
    <n v="38"/>
    <x v="1"/>
    <s v="Programa Aseguramiento Calidad de la Auditoria"/>
    <n v="32"/>
    <n v="40"/>
    <n v="8"/>
    <n v="80"/>
    <n v="1"/>
    <n v="80"/>
  </r>
  <r>
    <n v="39"/>
    <x v="1"/>
    <s v="Seguimiento Cajas Menores (SE EFECTUAN SIN PREVIO AVISO)"/>
    <n v="2"/>
    <n v="2"/>
    <n v="2"/>
    <n v="6"/>
    <n v="6"/>
    <n v="36"/>
  </r>
  <r>
    <n v="40"/>
    <x v="1"/>
    <s v="Seguimiento Plan de Mejoramiento por Procesos"/>
    <n v="32"/>
    <n v="40"/>
    <n v="8"/>
    <n v="80"/>
    <n v="1"/>
    <n v="80"/>
  </r>
  <r>
    <n v="41"/>
    <x v="1"/>
    <s v="Seguimiento Directiva 015 de 2022"/>
    <n v="32"/>
    <n v="40"/>
    <n v="8"/>
    <n v="80"/>
    <n v="1"/>
    <n v="80"/>
  </r>
  <r>
    <n v="42"/>
    <x v="2"/>
    <s v="Asistencia y Participación en los Comités Institucionales"/>
    <n v="1"/>
    <n v="2"/>
    <n v="0"/>
    <n v="3"/>
    <n v="30"/>
    <n v="90"/>
  </r>
  <r>
    <n v="43"/>
    <x v="2"/>
    <s v="Reuniones de Autoevaluación Proceso (quincenal)"/>
    <n v="1"/>
    <n v="2"/>
    <n v="1"/>
    <n v="4"/>
    <n v="24"/>
    <n v="96"/>
  </r>
  <r>
    <n v="44"/>
    <x v="2"/>
    <s v="Revisión y actualización del Proceso Evaluación y Seguimiento: Revisión procedimientos, instructivos, formatos, indicadores y riesgos del proceso, asignación y seguimiento  de tareas y actividades programadas, determinación de directrices e instrucciones al grupo de trabajo"/>
    <n v="32"/>
    <n v="40"/>
    <n v="0"/>
    <n v="72"/>
    <n v="4"/>
    <n v="288"/>
  </r>
  <r>
    <n v="45"/>
    <x v="3"/>
    <s v="Trasmisión Cuenta Mensual Contraloría"/>
    <n v="1"/>
    <n v="1"/>
    <n v="1"/>
    <n v="3"/>
    <n v="12"/>
    <n v="36"/>
  </r>
  <r>
    <n v="46"/>
    <x v="3"/>
    <s v="Auditoría de Control Fiscal en la Modalidad de Regularidad PAD 2023 Vigencia 2022"/>
    <n v="16"/>
    <n v="40"/>
    <n v="3"/>
    <n v="59"/>
    <n v="1"/>
    <n v="59"/>
  </r>
  <r>
    <n v="47"/>
    <x v="3"/>
    <s v="Auditoría de Control Fiscal en la Modalidad de Cumplimiento -Vivienda"/>
    <n v="16"/>
    <n v="40"/>
    <n v="3"/>
    <n v="59"/>
    <n v="1"/>
    <n v="59"/>
  </r>
  <r>
    <n v="48"/>
    <x v="3"/>
    <s v="Auditoría de Control Fiscal en la Modalidad de Desempeño"/>
    <n v="16"/>
    <n v="40"/>
    <n v="3"/>
    <n v="59"/>
    <n v="1"/>
    <n v="59"/>
  </r>
  <r>
    <n v="49"/>
    <x v="3"/>
    <s v="Visitas Administrativas de Control Fiscal"/>
    <n v="16"/>
    <n v="40"/>
    <n v="3"/>
    <n v="59"/>
    <n v="1"/>
    <n v="59"/>
  </r>
  <r>
    <n v="50"/>
    <x v="3"/>
    <s v="Seguimiento Plan de Mejoramiento Contraloría"/>
    <n v="16"/>
    <n v="40"/>
    <n v="3"/>
    <n v="59"/>
    <n v="2"/>
    <n v="118"/>
  </r>
  <r>
    <n v="51"/>
    <x v="3"/>
    <s v="Atención Vistas – Entes de Control - Atención requerimientos entes de control conforme a las competencias de la OCI"/>
    <n v="10"/>
    <n v="20"/>
    <n v="8"/>
    <n v="38"/>
    <n v="4"/>
    <n v="152"/>
  </r>
  <r>
    <n v="52"/>
    <x v="1"/>
    <s v="Trasmisión Cuenta Mensual Contraloría"/>
    <n v="12"/>
    <n v="8"/>
    <n v="4"/>
    <n v="24"/>
    <n v="12"/>
    <n v="288"/>
  </r>
  <r>
    <n v="53"/>
    <x v="1"/>
    <s v="Asesoría, acompañamiento  y Trasmisión Cuenta Anual Contraloría"/>
    <n v="40"/>
    <n v="45"/>
    <n v="8"/>
    <n v="93"/>
    <n v="1"/>
    <n v="93"/>
  </r>
  <r>
    <n v="54"/>
    <x v="2"/>
    <s v="Reparto, seguimiento, revisión y registro de respuestas a Entes Externos de Control"/>
    <n v="1"/>
    <n v="7"/>
    <n v="0"/>
    <n v="8"/>
    <n v="682"/>
    <n v="5456"/>
  </r>
  <r>
    <n v="55"/>
    <x v="4"/>
    <m/>
    <m/>
    <m/>
    <m/>
    <n v="0"/>
    <m/>
    <n v="0"/>
  </r>
  <r>
    <n v="56"/>
    <x v="4"/>
    <m/>
    <m/>
    <m/>
    <m/>
    <n v="0"/>
    <m/>
    <n v="0"/>
  </r>
  <r>
    <n v="57"/>
    <x v="4"/>
    <m/>
    <m/>
    <m/>
    <m/>
    <n v="0"/>
    <m/>
    <n v="0"/>
  </r>
  <r>
    <n v="58"/>
    <x v="4"/>
    <m/>
    <m/>
    <m/>
    <m/>
    <n v="0"/>
    <m/>
    <n v="0"/>
  </r>
  <r>
    <n v="59"/>
    <x v="4"/>
    <m/>
    <m/>
    <m/>
    <m/>
    <n v="0"/>
    <m/>
    <n v="0"/>
  </r>
  <r>
    <n v="60"/>
    <x v="4"/>
    <m/>
    <m/>
    <m/>
    <m/>
    <n v="0"/>
    <m/>
    <n v="0"/>
  </r>
  <r>
    <n v="61"/>
    <x v="4"/>
    <m/>
    <m/>
    <m/>
    <m/>
    <n v="0"/>
    <m/>
    <n v="0"/>
  </r>
  <r>
    <n v="62"/>
    <x v="4"/>
    <m/>
    <m/>
    <m/>
    <m/>
    <n v="0"/>
    <m/>
    <n v="0"/>
  </r>
  <r>
    <n v="63"/>
    <x v="4"/>
    <m/>
    <m/>
    <m/>
    <m/>
    <n v="0"/>
    <m/>
    <n v="0"/>
  </r>
  <r>
    <n v="64"/>
    <x v="4"/>
    <m/>
    <m/>
    <m/>
    <m/>
    <n v="0"/>
    <m/>
    <n v="0"/>
  </r>
  <r>
    <n v="65"/>
    <x v="4"/>
    <m/>
    <m/>
    <m/>
    <m/>
    <n v="0"/>
    <m/>
    <n v="0"/>
  </r>
  <r>
    <n v="66"/>
    <x v="4"/>
    <m/>
    <m/>
    <m/>
    <m/>
    <n v="0"/>
    <m/>
    <n v="0"/>
  </r>
  <r>
    <n v="67"/>
    <x v="4"/>
    <m/>
    <m/>
    <m/>
    <m/>
    <n v="0"/>
    <m/>
    <n v="0"/>
  </r>
  <r>
    <n v="68"/>
    <x v="4"/>
    <m/>
    <m/>
    <m/>
    <m/>
    <n v="0"/>
    <m/>
    <n v="0"/>
  </r>
  <r>
    <n v="69"/>
    <x v="4"/>
    <m/>
    <m/>
    <m/>
    <m/>
    <n v="0"/>
    <m/>
    <n v="0"/>
  </r>
  <r>
    <n v="70"/>
    <x v="4"/>
    <m/>
    <m/>
    <m/>
    <m/>
    <n v="0"/>
    <m/>
    <n v="0"/>
  </r>
  <r>
    <n v="71"/>
    <x v="4"/>
    <m/>
    <m/>
    <m/>
    <m/>
    <n v="0"/>
    <m/>
    <n v="0"/>
  </r>
  <r>
    <n v="72"/>
    <x v="4"/>
    <m/>
    <m/>
    <m/>
    <m/>
    <n v="0"/>
    <m/>
    <n v="0"/>
  </r>
  <r>
    <n v="73"/>
    <x v="4"/>
    <m/>
    <m/>
    <m/>
    <m/>
    <n v="0"/>
    <m/>
    <n v="0"/>
  </r>
  <r>
    <n v="74"/>
    <x v="4"/>
    <m/>
    <m/>
    <m/>
    <m/>
    <n v="0"/>
    <m/>
    <n v="0"/>
  </r>
  <r>
    <n v="75"/>
    <x v="4"/>
    <m/>
    <m/>
    <m/>
    <m/>
    <n v="0"/>
    <m/>
    <n v="0"/>
  </r>
  <r>
    <n v="76"/>
    <x v="4"/>
    <m/>
    <m/>
    <m/>
    <m/>
    <n v="0"/>
    <m/>
    <n v="0"/>
  </r>
  <r>
    <n v="77"/>
    <x v="4"/>
    <m/>
    <m/>
    <m/>
    <m/>
    <n v="0"/>
    <m/>
    <n v="0"/>
  </r>
  <r>
    <n v="78"/>
    <x v="4"/>
    <m/>
    <m/>
    <m/>
    <m/>
    <n v="0"/>
    <m/>
    <n v="0"/>
  </r>
  <r>
    <n v="79"/>
    <x v="4"/>
    <m/>
    <m/>
    <m/>
    <m/>
    <n v="0"/>
    <m/>
    <n v="0"/>
  </r>
  <r>
    <n v="80"/>
    <x v="4"/>
    <m/>
    <m/>
    <m/>
    <m/>
    <n v="0"/>
    <m/>
    <n v="0"/>
  </r>
  <r>
    <n v="81"/>
    <x v="4"/>
    <m/>
    <m/>
    <m/>
    <m/>
    <n v="0"/>
    <m/>
    <n v="0"/>
  </r>
  <r>
    <n v="82"/>
    <x v="4"/>
    <m/>
    <m/>
    <m/>
    <m/>
    <n v="0"/>
    <m/>
    <n v="0"/>
  </r>
  <r>
    <n v="83"/>
    <x v="4"/>
    <m/>
    <m/>
    <m/>
    <m/>
    <n v="0"/>
    <m/>
    <n v="0"/>
  </r>
  <r>
    <n v="84"/>
    <x v="4"/>
    <m/>
    <m/>
    <m/>
    <m/>
    <n v="0"/>
    <m/>
    <n v="0"/>
  </r>
  <r>
    <n v="85"/>
    <x v="4"/>
    <m/>
    <m/>
    <m/>
    <m/>
    <n v="0"/>
    <m/>
    <n v="0"/>
  </r>
  <r>
    <n v="86"/>
    <x v="4"/>
    <m/>
    <m/>
    <m/>
    <m/>
    <n v="0"/>
    <m/>
    <n v="0"/>
  </r>
  <r>
    <n v="87"/>
    <x v="4"/>
    <m/>
    <m/>
    <m/>
    <s v="TOTALES"/>
    <n v="8045"/>
    <n v="858"/>
    <n v="1616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location ref="A114:C118" firstHeaderRow="0" firstDataRow="1" firstDataCol="1"/>
  <pivotFields count="9">
    <pivotField showAll="0"/>
    <pivotField axis="axisRow" showAll="0">
      <items count="6">
        <item x="0"/>
        <item x="1"/>
        <item x="3"/>
        <item h="1" x="4"/>
        <item h="1" x="2"/>
        <item t="default"/>
      </items>
    </pivotField>
    <pivotField showAll="0"/>
    <pivotField showAll="0"/>
    <pivotField showAll="0"/>
    <pivotField showAll="0"/>
    <pivotField dataField="1" showAll="0"/>
    <pivotField dataField="1" showAll="0"/>
    <pivotField showAll="0"/>
  </pivotFields>
  <rowFields count="1">
    <field x="1"/>
  </rowFields>
  <rowItems count="4">
    <i>
      <x/>
    </i>
    <i>
      <x v="1"/>
    </i>
    <i>
      <x v="2"/>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5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a1" displayName="Tabla1" ref="A11:J109" totalsRowCount="1" headerRowDxfId="54" dataDxfId="52" headerRowBorderDxfId="53" tableBorderDxfId="51" totalsRowBorderDxfId="50">
  <tableColumns count="10">
    <tableColumn id="1" name="No" dataDxfId="49" totalsRowDxfId="48"/>
    <tableColumn id="2" name="TIPO DE TRABAJO DE AUDITORÍA " dataDxfId="47" totalsRowDxfId="46"/>
    <tableColumn id="3" name="Descripción" dataDxfId="45" totalsRowDxfId="44"/>
    <tableColumn id="4" name="Planeacion Auditoria/Solicitud de Informaciòn" dataDxfId="43" totalsRowDxfId="42"/>
    <tableColumn id="5" name="Ejecucion  Auditoria/Análisis de informaciòn" dataDxfId="41" totalsRowDxfId="40">
      <calculatedColumnFormula>320-Tabla1[[#This Row],[Planeacion Auditoria/Solicitud de Informaciòn]]-Tabla1[[#This Row],[Informe de Auditoria /Seguimiento]]</calculatedColumnFormula>
    </tableColumn>
    <tableColumn id="6" name="Informe de Auditoria /Seguimiento" dataDxfId="39" totalsRowDxfId="38"/>
    <tableColumn id="7" name="Total horas por trabajo de auditoría" dataDxfId="37" totalsRowDxfId="36"/>
    <tableColumn id="8" name="# Informes x año" dataDxfId="35" totalsRowDxfId="34"/>
    <tableColumn id="9" name="Horas x trabajo de auditoría" dataDxfId="33" totalsRowDxfId="32">
      <calculatedColumnFormula>+G12*H12</calculatedColumnFormula>
    </tableColumn>
    <tableColumn id="10" name="Observaciones" dataDxfId="31" totalsRowDxfId="3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colombia.workingdays.org/"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colombia.workingdays.org/"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10.115.245.74/mipg-sig/mapa-procesos" TargetMode="External"/><Relationship Id="rId2" Type="http://schemas.openxmlformats.org/officeDocument/2006/relationships/hyperlink" Target="http://10.115.245.74/organigrama" TargetMode="External"/><Relationship Id="rId1" Type="http://schemas.openxmlformats.org/officeDocument/2006/relationships/hyperlink" Target="http://10.115.245.74/node/4683" TargetMode="External"/><Relationship Id="rId6" Type="http://schemas.openxmlformats.org/officeDocument/2006/relationships/drawing" Target="../drawings/drawing6.xml"/><Relationship Id="rId5" Type="http://schemas.openxmlformats.org/officeDocument/2006/relationships/printerSettings" Target="../printerSettings/printerSettings4.bin"/><Relationship Id="rId4" Type="http://schemas.openxmlformats.org/officeDocument/2006/relationships/hyperlink" Target="http://10.115.245.74/organigrama"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7"/>
  <sheetViews>
    <sheetView workbookViewId="0">
      <selection activeCell="C6" sqref="C6:N6"/>
    </sheetView>
  </sheetViews>
  <sheetFormatPr baseColWidth="10" defaultColWidth="11.42578125" defaultRowHeight="15" x14ac:dyDescent="0.25"/>
  <cols>
    <col min="1" max="16384" width="11.42578125" style="59"/>
  </cols>
  <sheetData>
    <row r="4" spans="3:14" ht="15.75" thickBot="1" x14ac:dyDescent="0.3"/>
    <row r="5" spans="3:14" ht="68.25" customHeight="1" thickBot="1" x14ac:dyDescent="0.3">
      <c r="C5" s="516" t="s">
        <v>21</v>
      </c>
      <c r="D5" s="517"/>
      <c r="E5" s="517"/>
      <c r="F5" s="517"/>
      <c r="G5" s="517"/>
      <c r="H5" s="517"/>
      <c r="I5" s="517"/>
      <c r="J5" s="517"/>
      <c r="K5" s="517"/>
      <c r="L5" s="517"/>
      <c r="M5" s="517"/>
      <c r="N5" s="518"/>
    </row>
    <row r="6" spans="3:14" ht="288.75" customHeight="1" thickBot="1" x14ac:dyDescent="0.3">
      <c r="C6" s="513" t="s">
        <v>607</v>
      </c>
      <c r="D6" s="514"/>
      <c r="E6" s="514"/>
      <c r="F6" s="514"/>
      <c r="G6" s="514"/>
      <c r="H6" s="514"/>
      <c r="I6" s="514"/>
      <c r="J6" s="514"/>
      <c r="K6" s="514"/>
      <c r="L6" s="514"/>
      <c r="M6" s="514"/>
      <c r="N6" s="515"/>
    </row>
    <row r="7" spans="3:14" ht="45" customHeight="1" thickBot="1" x14ac:dyDescent="0.3">
      <c r="C7" s="42"/>
      <c r="D7" s="45" t="s">
        <v>27</v>
      </c>
      <c r="E7" s="43"/>
      <c r="F7" s="43"/>
      <c r="G7" s="43"/>
      <c r="H7" s="43"/>
      <c r="I7" s="43"/>
      <c r="J7" s="43"/>
      <c r="K7" s="43"/>
      <c r="L7" s="43"/>
      <c r="M7" s="43"/>
      <c r="N7" s="44"/>
    </row>
    <row r="8" spans="3:14" ht="45" customHeight="1" x14ac:dyDescent="0.25">
      <c r="C8" s="39"/>
      <c r="D8" s="48" t="s">
        <v>57</v>
      </c>
      <c r="E8" s="40"/>
      <c r="F8" s="40"/>
      <c r="G8" s="40"/>
      <c r="H8" s="40"/>
      <c r="I8" s="40"/>
      <c r="J8" s="40"/>
      <c r="K8" s="40"/>
      <c r="L8" s="40"/>
      <c r="M8" s="40"/>
      <c r="N8" s="41"/>
    </row>
    <row r="9" spans="3:14" x14ac:dyDescent="0.25">
      <c r="C9" s="20"/>
      <c r="D9" s="15"/>
      <c r="E9" s="15"/>
      <c r="F9" s="15"/>
      <c r="G9" s="15"/>
      <c r="H9" s="15"/>
      <c r="I9" s="15"/>
      <c r="J9" s="15"/>
      <c r="K9" s="15"/>
      <c r="L9" s="15"/>
      <c r="M9" s="15"/>
      <c r="N9" s="16"/>
    </row>
    <row r="10" spans="3:14" ht="18" x14ac:dyDescent="0.25">
      <c r="C10" s="14"/>
      <c r="D10" s="21" t="s">
        <v>22</v>
      </c>
      <c r="E10" s="15"/>
      <c r="F10" s="15"/>
      <c r="G10" s="15"/>
      <c r="H10" s="15"/>
      <c r="I10" s="15"/>
      <c r="J10" s="15"/>
      <c r="K10" s="15"/>
      <c r="L10" s="15"/>
      <c r="M10" s="15"/>
      <c r="N10" s="16"/>
    </row>
    <row r="11" spans="3:14" ht="15.75" thickBot="1" x14ac:dyDescent="0.3">
      <c r="C11" s="22"/>
      <c r="D11" s="18"/>
      <c r="E11" s="18"/>
      <c r="F11" s="18"/>
      <c r="G11" s="18"/>
      <c r="H11" s="18"/>
      <c r="I11" s="18"/>
      <c r="J11" s="18"/>
      <c r="K11" s="18"/>
      <c r="L11" s="18"/>
      <c r="M11" s="18"/>
      <c r="N11" s="19"/>
    </row>
    <row r="12" spans="3:14" x14ac:dyDescent="0.25">
      <c r="C12" s="20"/>
      <c r="D12" s="15"/>
      <c r="E12" s="15"/>
      <c r="F12" s="15"/>
      <c r="G12" s="15"/>
      <c r="H12" s="15"/>
      <c r="I12" s="15"/>
      <c r="J12" s="15"/>
      <c r="K12" s="15"/>
      <c r="L12" s="15"/>
      <c r="M12" s="15"/>
      <c r="N12" s="16"/>
    </row>
    <row r="13" spans="3:14" ht="18" x14ac:dyDescent="0.25">
      <c r="C13" s="14"/>
      <c r="D13" s="21" t="s">
        <v>56</v>
      </c>
      <c r="E13" s="15"/>
      <c r="F13" s="15"/>
      <c r="G13" s="15"/>
      <c r="H13" s="15"/>
      <c r="I13" s="15"/>
      <c r="J13" s="15"/>
      <c r="K13" s="15"/>
      <c r="L13" s="15"/>
      <c r="M13" s="15"/>
      <c r="N13" s="16"/>
    </row>
    <row r="14" spans="3:14" ht="15.75" thickBot="1" x14ac:dyDescent="0.3">
      <c r="C14" s="22"/>
      <c r="D14" s="18"/>
      <c r="E14" s="18"/>
      <c r="F14" s="18"/>
      <c r="G14" s="18"/>
      <c r="H14" s="18"/>
      <c r="I14" s="18"/>
      <c r="J14" s="18"/>
      <c r="K14" s="18"/>
      <c r="L14" s="18"/>
      <c r="M14" s="18"/>
      <c r="N14" s="19"/>
    </row>
    <row r="15" spans="3:14" x14ac:dyDescent="0.25">
      <c r="C15" s="20"/>
      <c r="D15" s="15"/>
      <c r="E15" s="15"/>
      <c r="F15" s="15"/>
      <c r="G15" s="15"/>
      <c r="H15" s="15"/>
      <c r="I15" s="15"/>
      <c r="J15" s="15"/>
      <c r="K15" s="15"/>
      <c r="L15" s="15"/>
      <c r="M15" s="15"/>
      <c r="N15" s="16"/>
    </row>
    <row r="16" spans="3:14" ht="18" x14ac:dyDescent="0.25">
      <c r="C16" s="14"/>
      <c r="D16" s="21" t="s">
        <v>23</v>
      </c>
      <c r="E16" s="15"/>
      <c r="F16" s="15"/>
      <c r="G16" s="15"/>
      <c r="H16" s="15"/>
      <c r="I16" s="15"/>
      <c r="J16" s="15"/>
      <c r="K16" s="15"/>
      <c r="L16" s="15"/>
      <c r="M16" s="15"/>
      <c r="N16" s="16"/>
    </row>
    <row r="17" spans="3:14" ht="15.75" thickBot="1" x14ac:dyDescent="0.3">
      <c r="C17" s="22"/>
      <c r="D17" s="18"/>
      <c r="E17" s="18"/>
      <c r="F17" s="18"/>
      <c r="G17" s="18"/>
      <c r="H17" s="18"/>
      <c r="I17" s="18"/>
      <c r="J17" s="18"/>
      <c r="K17" s="18"/>
      <c r="L17" s="18"/>
      <c r="M17" s="18"/>
      <c r="N17" s="19"/>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8"/>
  <sheetViews>
    <sheetView zoomScale="95" zoomScaleNormal="95" workbookViewId="0"/>
  </sheetViews>
  <sheetFormatPr baseColWidth="10" defaultColWidth="11.42578125" defaultRowHeight="15" x14ac:dyDescent="0.25"/>
  <cols>
    <col min="2" max="2" width="47.140625" customWidth="1"/>
    <col min="3" max="3" width="4.5703125" customWidth="1"/>
    <col min="4" max="4" width="84.85546875" customWidth="1"/>
    <col min="5" max="5" width="45.28515625" customWidth="1"/>
  </cols>
  <sheetData>
    <row r="3" spans="1:5" x14ac:dyDescent="0.25">
      <c r="A3" s="73"/>
      <c r="B3" s="73" t="s">
        <v>127</v>
      </c>
      <c r="C3" s="73"/>
      <c r="D3" s="73" t="s">
        <v>113</v>
      </c>
      <c r="E3" s="73" t="s">
        <v>128</v>
      </c>
    </row>
    <row r="4" spans="1:5" ht="60" customHeight="1" x14ac:dyDescent="0.25">
      <c r="A4" s="625">
        <v>1</v>
      </c>
      <c r="B4" s="628" t="s">
        <v>121</v>
      </c>
      <c r="C4" s="74" t="s">
        <v>129</v>
      </c>
      <c r="D4" s="52" t="s">
        <v>130</v>
      </c>
      <c r="E4" s="75" t="s">
        <v>131</v>
      </c>
    </row>
    <row r="5" spans="1:5" ht="45" customHeight="1" x14ac:dyDescent="0.25">
      <c r="A5" s="626"/>
      <c r="B5" s="629"/>
      <c r="C5" s="74" t="s">
        <v>122</v>
      </c>
      <c r="D5" s="52" t="s">
        <v>102</v>
      </c>
      <c r="E5" s="75" t="s">
        <v>132</v>
      </c>
    </row>
    <row r="6" spans="1:5" ht="33" x14ac:dyDescent="0.25">
      <c r="A6" s="627"/>
      <c r="B6" s="630"/>
      <c r="C6" s="74" t="s">
        <v>123</v>
      </c>
      <c r="D6" s="52" t="s">
        <v>103</v>
      </c>
      <c r="E6" s="75" t="s">
        <v>133</v>
      </c>
    </row>
    <row r="7" spans="1:5" ht="28.5" x14ac:dyDescent="0.25">
      <c r="A7" s="38">
        <v>2</v>
      </c>
      <c r="B7" s="76" t="s">
        <v>134</v>
      </c>
      <c r="C7" s="74" t="s">
        <v>135</v>
      </c>
      <c r="D7" s="52" t="s">
        <v>136</v>
      </c>
      <c r="E7" s="54"/>
    </row>
    <row r="8" spans="1:5" ht="30.75" customHeight="1" x14ac:dyDescent="0.25">
      <c r="A8" s="38"/>
      <c r="B8" s="76"/>
      <c r="C8" s="74"/>
      <c r="D8" s="52" t="s">
        <v>137</v>
      </c>
      <c r="E8" s="77" t="s">
        <v>138</v>
      </c>
    </row>
    <row r="9" spans="1:5" ht="30.75" customHeight="1" x14ac:dyDescent="0.25">
      <c r="A9" s="38"/>
      <c r="B9" s="76"/>
      <c r="C9" s="74"/>
      <c r="D9" s="52" t="s">
        <v>139</v>
      </c>
      <c r="E9" s="78" t="s">
        <v>140</v>
      </c>
    </row>
    <row r="10" spans="1:5" ht="33" x14ac:dyDescent="0.25">
      <c r="A10" s="38">
        <v>3</v>
      </c>
      <c r="B10" s="76" t="s">
        <v>141</v>
      </c>
      <c r="C10" s="74" t="s">
        <v>142</v>
      </c>
      <c r="D10" s="52" t="s">
        <v>143</v>
      </c>
      <c r="E10" s="78" t="s">
        <v>144</v>
      </c>
    </row>
    <row r="11" spans="1:5" ht="33" x14ac:dyDescent="0.3">
      <c r="A11" s="38"/>
      <c r="B11" s="76"/>
      <c r="C11" s="74" t="s">
        <v>145</v>
      </c>
      <c r="D11" s="52" t="s">
        <v>146</v>
      </c>
      <c r="E11" s="51"/>
    </row>
    <row r="12" spans="1:5" ht="33" x14ac:dyDescent="0.3">
      <c r="A12" s="53"/>
      <c r="B12" s="52"/>
      <c r="C12" s="74" t="s">
        <v>147</v>
      </c>
      <c r="D12" s="52" t="s">
        <v>148</v>
      </c>
      <c r="E12" s="51"/>
    </row>
    <row r="13" spans="1:5" ht="33" x14ac:dyDescent="0.3">
      <c r="A13" s="53"/>
      <c r="B13" s="52"/>
      <c r="C13" s="74" t="s">
        <v>149</v>
      </c>
      <c r="D13" s="52" t="s">
        <v>150</v>
      </c>
      <c r="E13" s="51"/>
    </row>
    <row r="14" spans="1:5" ht="33" x14ac:dyDescent="0.3">
      <c r="A14" s="53"/>
      <c r="B14" s="52"/>
      <c r="C14" s="74" t="s">
        <v>151</v>
      </c>
      <c r="D14" s="52" t="s">
        <v>152</v>
      </c>
      <c r="E14" s="51"/>
    </row>
    <row r="15" spans="1:5" ht="33" x14ac:dyDescent="0.3">
      <c r="A15" s="53"/>
      <c r="B15" s="52"/>
      <c r="C15" s="74" t="s">
        <v>153</v>
      </c>
      <c r="D15" s="52" t="s">
        <v>154</v>
      </c>
      <c r="E15" s="51"/>
    </row>
    <row r="16" spans="1:5" ht="33" x14ac:dyDescent="0.3">
      <c r="A16" s="53"/>
      <c r="B16" s="52"/>
      <c r="C16" s="74" t="s">
        <v>155</v>
      </c>
      <c r="D16" s="52" t="s">
        <v>156</v>
      </c>
      <c r="E16" s="51"/>
    </row>
    <row r="17" spans="1:5" ht="16.5" x14ac:dyDescent="0.3">
      <c r="A17" s="53"/>
      <c r="B17" s="52"/>
      <c r="C17" s="74"/>
      <c r="D17" s="79" t="s">
        <v>157</v>
      </c>
      <c r="E17" s="51"/>
    </row>
    <row r="18" spans="1:5" ht="33" x14ac:dyDescent="0.3">
      <c r="A18" s="53"/>
      <c r="B18" s="52"/>
      <c r="C18" s="74" t="s">
        <v>158</v>
      </c>
      <c r="D18" s="52" t="s">
        <v>159</v>
      </c>
      <c r="E18" s="51"/>
    </row>
    <row r="19" spans="1:5" ht="16.5" x14ac:dyDescent="0.3">
      <c r="A19" s="53"/>
      <c r="B19" s="52"/>
      <c r="C19" s="74"/>
      <c r="D19" s="79" t="s">
        <v>160</v>
      </c>
      <c r="E19" s="51"/>
    </row>
    <row r="20" spans="1:5" ht="16.5" x14ac:dyDescent="0.3">
      <c r="A20" s="53"/>
      <c r="B20" s="52"/>
      <c r="C20" s="53"/>
      <c r="D20" s="79" t="s">
        <v>161</v>
      </c>
      <c r="E20" s="80" t="s">
        <v>162</v>
      </c>
    </row>
    <row r="21" spans="1:5" ht="33" x14ac:dyDescent="0.3">
      <c r="A21" s="38">
        <v>4</v>
      </c>
      <c r="B21" s="76" t="s">
        <v>163</v>
      </c>
      <c r="C21" s="74" t="s">
        <v>164</v>
      </c>
      <c r="D21" s="52" t="s">
        <v>165</v>
      </c>
      <c r="E21" s="51"/>
    </row>
    <row r="22" spans="1:5" ht="16.5" x14ac:dyDescent="0.3">
      <c r="A22" s="51"/>
      <c r="B22" s="50"/>
      <c r="C22" s="51"/>
      <c r="D22" s="50"/>
      <c r="E22" s="51"/>
    </row>
    <row r="23" spans="1:5" x14ac:dyDescent="0.25">
      <c r="B23" s="10"/>
      <c r="D23" s="10"/>
    </row>
    <row r="24" spans="1:5" x14ac:dyDescent="0.25">
      <c r="B24" s="10"/>
      <c r="D24" s="10"/>
    </row>
    <row r="25" spans="1:5" x14ac:dyDescent="0.25">
      <c r="B25" s="10"/>
      <c r="D25" s="10"/>
    </row>
    <row r="26" spans="1:5" x14ac:dyDescent="0.25">
      <c r="B26" s="10"/>
      <c r="D26" s="10"/>
    </row>
    <row r="27" spans="1:5" x14ac:dyDescent="0.25">
      <c r="B27" s="10"/>
      <c r="D27" s="10"/>
    </row>
    <row r="28" spans="1:5" x14ac:dyDescent="0.25">
      <c r="B28" s="10"/>
      <c r="D28" s="10"/>
    </row>
  </sheetData>
  <mergeCells count="2">
    <mergeCell ref="A4:A6"/>
    <mergeCell ref="B4:B6"/>
  </mergeCells>
  <hyperlinks>
    <hyperlink ref="E4" location="'1. Horas requeridas PAAI'!A1" display="'1. Horas requeridas PAAI'!A1"/>
    <hyperlink ref="E10" location="'3 Horas disponibles E. Auditor'!A1" display="'3 Horas disponibles E. Auditor'!A1"/>
    <hyperlink ref="E5" location="'1. Horas requeridas PAAI'!A1" display="'1. Horas requeridas PAAI'!A1"/>
    <hyperlink ref="E6" location="'1. Horas requeridas PAAI'!A1" display="'1. Horas requeridas PAAI'!A1"/>
    <hyperlink ref="E9" location="'2. Días -horas hábiles x vig'!A1" display="'2. Días -horas hábiles x vig'!A1"/>
    <hyperlink ref="E8" r:id="rId1"/>
    <hyperlink ref="E20" location="'4. Resultado'!A1" display="'4. Resultado'!A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8"/>
  <sheetViews>
    <sheetView zoomScale="80" zoomScaleNormal="80" workbookViewId="0">
      <selection activeCell="G78" sqref="G78"/>
    </sheetView>
  </sheetViews>
  <sheetFormatPr baseColWidth="10" defaultColWidth="11.42578125" defaultRowHeight="16.5" x14ac:dyDescent="0.3"/>
  <cols>
    <col min="1" max="1" width="26.140625" style="90" customWidth="1"/>
    <col min="2" max="2" width="48.7109375" style="90" customWidth="1"/>
    <col min="3" max="3" width="30.28515625" style="90" customWidth="1"/>
    <col min="4" max="9" width="23.28515625" style="90" customWidth="1"/>
    <col min="10" max="10" width="11" style="90" customWidth="1"/>
    <col min="11" max="11" width="12.5703125" style="90" bestFit="1" customWidth="1"/>
    <col min="12" max="13" width="11.42578125" style="90"/>
    <col min="14" max="14" width="27.5703125" style="90" customWidth="1"/>
    <col min="15" max="16384" width="11.42578125" style="90"/>
  </cols>
  <sheetData>
    <row r="1" spans="1:14" s="15" customFormat="1" ht="62.25" customHeight="1" x14ac:dyDescent="0.25">
      <c r="A1"/>
      <c r="B1" s="524" t="s">
        <v>240</v>
      </c>
      <c r="C1" s="524"/>
      <c r="D1" s="524"/>
      <c r="E1" s="524"/>
      <c r="F1" s="524"/>
      <c r="G1" s="524"/>
      <c r="H1" s="524"/>
      <c r="I1" s="525"/>
      <c r="J1" s="60"/>
      <c r="K1" s="60"/>
      <c r="L1" s="62"/>
      <c r="M1" s="63"/>
    </row>
    <row r="2" spans="1:14" x14ac:dyDescent="0.3">
      <c r="A2" s="92"/>
      <c r="B2" s="25"/>
      <c r="C2" s="25"/>
      <c r="D2" s="25"/>
      <c r="E2" s="25"/>
      <c r="F2" s="25"/>
      <c r="G2" s="25"/>
      <c r="H2" s="25"/>
      <c r="I2" s="93"/>
    </row>
    <row r="3" spans="1:14" x14ac:dyDescent="0.3">
      <c r="A3" s="92" t="s">
        <v>255</v>
      </c>
      <c r="B3" s="25"/>
      <c r="C3" s="25"/>
      <c r="D3" s="25"/>
      <c r="E3" s="25"/>
      <c r="F3" s="25"/>
      <c r="G3" s="25"/>
      <c r="H3" s="25"/>
      <c r="I3" s="93"/>
    </row>
    <row r="4" spans="1:14" ht="18.75" x14ac:dyDescent="0.3">
      <c r="A4" s="156" t="s">
        <v>239</v>
      </c>
      <c r="B4" s="25"/>
      <c r="C4" s="25"/>
      <c r="D4" s="25"/>
      <c r="E4" s="25"/>
      <c r="F4" s="25"/>
      <c r="G4" s="25"/>
      <c r="H4" s="25"/>
      <c r="I4" s="93"/>
    </row>
    <row r="5" spans="1:14" ht="18.75" x14ac:dyDescent="0.3">
      <c r="A5" s="156" t="s">
        <v>238</v>
      </c>
      <c r="B5" s="25"/>
      <c r="C5" s="25"/>
      <c r="D5" s="25"/>
      <c r="E5" s="25"/>
      <c r="F5" s="25"/>
      <c r="G5" s="25"/>
      <c r="H5" s="25"/>
      <c r="I5" s="93"/>
    </row>
    <row r="6" spans="1:14" ht="18.75" x14ac:dyDescent="0.3">
      <c r="A6" s="156"/>
      <c r="B6" s="25"/>
      <c r="C6" s="25"/>
      <c r="D6" s="25"/>
      <c r="E6" s="25"/>
      <c r="F6" s="25"/>
      <c r="G6" s="25"/>
      <c r="H6" s="25"/>
      <c r="I6" s="93"/>
    </row>
    <row r="7" spans="1:14" x14ac:dyDescent="0.3">
      <c r="A7" s="145"/>
      <c r="B7" s="25"/>
      <c r="C7" s="25"/>
      <c r="D7" s="25"/>
      <c r="E7" s="25"/>
      <c r="F7" s="25"/>
      <c r="G7" s="25"/>
      <c r="H7" s="25"/>
      <c r="I7" s="93"/>
    </row>
    <row r="8" spans="1:14" x14ac:dyDescent="0.3">
      <c r="A8" s="634" t="s">
        <v>239</v>
      </c>
      <c r="B8" s="635"/>
      <c r="C8" s="635"/>
      <c r="D8" s="635"/>
      <c r="E8" s="635"/>
      <c r="F8" s="635"/>
      <c r="G8" s="635"/>
      <c r="H8" s="635"/>
      <c r="I8" s="636"/>
    </row>
    <row r="9" spans="1:14" x14ac:dyDescent="0.3">
      <c r="A9" s="94" t="s">
        <v>104</v>
      </c>
      <c r="B9" s="86" t="s">
        <v>105</v>
      </c>
      <c r="C9" s="86" t="s">
        <v>106</v>
      </c>
      <c r="D9" s="86" t="s">
        <v>107</v>
      </c>
      <c r="E9" s="86" t="s">
        <v>108</v>
      </c>
      <c r="F9" s="86" t="s">
        <v>109</v>
      </c>
      <c r="G9" s="86" t="s">
        <v>110</v>
      </c>
      <c r="H9" s="87" t="s">
        <v>111</v>
      </c>
      <c r="I9" s="95" t="s">
        <v>112</v>
      </c>
    </row>
    <row r="10" spans="1:14" x14ac:dyDescent="0.3">
      <c r="A10" s="94"/>
      <c r="B10" s="86"/>
      <c r="C10" s="86"/>
      <c r="D10" s="631" t="s">
        <v>220</v>
      </c>
      <c r="E10" s="632"/>
      <c r="F10" s="633"/>
      <c r="G10" s="86"/>
      <c r="H10" s="87"/>
      <c r="I10" s="95"/>
    </row>
    <row r="11" spans="1:14" ht="49.5" x14ac:dyDescent="0.3">
      <c r="A11" s="96" t="s">
        <v>12</v>
      </c>
      <c r="B11" s="89" t="s">
        <v>219</v>
      </c>
      <c r="C11" s="88" t="s">
        <v>113</v>
      </c>
      <c r="D11" s="89" t="s">
        <v>114</v>
      </c>
      <c r="E11" s="89" t="s">
        <v>115</v>
      </c>
      <c r="F11" s="89" t="s">
        <v>116</v>
      </c>
      <c r="G11" s="89" t="s">
        <v>223</v>
      </c>
      <c r="H11" s="89" t="s">
        <v>117</v>
      </c>
      <c r="I11" s="97" t="s">
        <v>224</v>
      </c>
      <c r="J11" s="344" t="s">
        <v>402</v>
      </c>
      <c r="N11" s="148" t="s">
        <v>245</v>
      </c>
    </row>
    <row r="12" spans="1:14" x14ac:dyDescent="0.3">
      <c r="A12" s="190">
        <v>1</v>
      </c>
      <c r="B12" s="191" t="s">
        <v>120</v>
      </c>
      <c r="C12" s="246" t="str">
        <f>+'PAA OCI  '!B19</f>
        <v>Seguimiento a SARLAFT</v>
      </c>
      <c r="D12" s="85">
        <v>16</v>
      </c>
      <c r="E12" s="333">
        <v>320</v>
      </c>
      <c r="F12" s="85">
        <v>24</v>
      </c>
      <c r="G12" s="85">
        <f>SUM(D12:F12)</f>
        <v>360</v>
      </c>
      <c r="H12" s="85">
        <v>1</v>
      </c>
      <c r="I12" s="98">
        <f>+G12*H12</f>
        <v>360</v>
      </c>
      <c r="J12" s="335"/>
      <c r="N12" s="146" t="s">
        <v>118</v>
      </c>
    </row>
    <row r="13" spans="1:14" ht="33" x14ac:dyDescent="0.3">
      <c r="A13" s="190">
        <v>2</v>
      </c>
      <c r="B13" s="191" t="s">
        <v>120</v>
      </c>
      <c r="C13" s="246" t="str">
        <f>+'PAA OCI  '!B20</f>
        <v>Revisión de Polizas de Seguro Corporativa</v>
      </c>
      <c r="D13" s="85">
        <v>16</v>
      </c>
      <c r="E13" s="333">
        <v>320</v>
      </c>
      <c r="F13" s="85">
        <v>24</v>
      </c>
      <c r="G13" s="85">
        <f>SUM(D13:F13)</f>
        <v>360</v>
      </c>
      <c r="H13" s="85">
        <v>1</v>
      </c>
      <c r="I13" s="98">
        <f t="shared" ref="I13:I35" si="0">+G13*H13</f>
        <v>360</v>
      </c>
      <c r="J13" s="335"/>
      <c r="N13" s="146" t="s">
        <v>119</v>
      </c>
    </row>
    <row r="14" spans="1:14" ht="33" x14ac:dyDescent="0.3">
      <c r="A14" s="190">
        <v>3</v>
      </c>
      <c r="B14" s="191" t="s">
        <v>120</v>
      </c>
      <c r="C14" s="246" t="str">
        <f>+'PAA OCI  '!B21</f>
        <v>Seguimiento a actos administrativos Internos</v>
      </c>
      <c r="D14" s="85">
        <v>16</v>
      </c>
      <c r="E14" s="333">
        <v>320</v>
      </c>
      <c r="F14" s="85">
        <v>24</v>
      </c>
      <c r="G14" s="85">
        <f t="shared" ref="G14:G86" si="1">SUM(D14:F14)</f>
        <v>360</v>
      </c>
      <c r="H14" s="85">
        <v>1</v>
      </c>
      <c r="I14" s="98">
        <f t="shared" si="0"/>
        <v>360</v>
      </c>
      <c r="J14" s="335"/>
      <c r="N14" s="146" t="s">
        <v>120</v>
      </c>
    </row>
    <row r="15" spans="1:14" ht="148.5" x14ac:dyDescent="0.3">
      <c r="A15" s="190">
        <v>4</v>
      </c>
      <c r="B15" s="191" t="s">
        <v>120</v>
      </c>
      <c r="C15" s="246" t="str">
        <f>+'PAA OCI  '!B22</f>
        <v>Plan Institucional de Archivos de la Entidad PINAR - Plan Estratégico de Talento Humano - Plan de Trabajo Anual en Seguridad y Salud en el Trabajo - Sistema de Gestión de Seguridad y Salud en el Trabajo</v>
      </c>
      <c r="D15" s="85">
        <v>16</v>
      </c>
      <c r="E15" s="333">
        <v>320</v>
      </c>
      <c r="F15" s="85">
        <v>24</v>
      </c>
      <c r="G15" s="85">
        <f t="shared" si="1"/>
        <v>360</v>
      </c>
      <c r="H15" s="85">
        <v>1</v>
      </c>
      <c r="I15" s="98">
        <f t="shared" si="0"/>
        <v>360</v>
      </c>
      <c r="J15" s="335"/>
      <c r="N15" s="146" t="s">
        <v>246</v>
      </c>
    </row>
    <row r="16" spans="1:14" ht="165" x14ac:dyDescent="0.3">
      <c r="A16" s="190">
        <v>5</v>
      </c>
      <c r="B16" s="191" t="s">
        <v>120</v>
      </c>
      <c r="C16" s="246" t="str">
        <f>+'PAA OCI  '!B23</f>
        <v>Plan Estratégico de Tecnologías de la Información y las Comunicaciones ­ PETI - Plan de Tratamiento de Riesgos de Seguridad y Privacidad de la Información - Plan de Seguridad y Privacidad de la Información</v>
      </c>
      <c r="D16" s="85">
        <v>16</v>
      </c>
      <c r="E16" s="333">
        <v>320</v>
      </c>
      <c r="F16" s="85">
        <v>24</v>
      </c>
      <c r="G16" s="85">
        <f t="shared" si="1"/>
        <v>360</v>
      </c>
      <c r="H16" s="85">
        <v>1</v>
      </c>
      <c r="I16" s="98">
        <f t="shared" si="0"/>
        <v>360</v>
      </c>
      <c r="J16" s="335"/>
      <c r="N16" s="146" t="s">
        <v>247</v>
      </c>
    </row>
    <row r="17" spans="1:14" ht="198" x14ac:dyDescent="0.3">
      <c r="A17" s="190">
        <v>6</v>
      </c>
      <c r="B17" s="191" t="s">
        <v>120</v>
      </c>
      <c r="C17" s="246" t="str">
        <f>+'PAA OCI  '!B24</f>
        <v>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v>
      </c>
      <c r="D17" s="85">
        <v>16</v>
      </c>
      <c r="E17" s="333">
        <v>320</v>
      </c>
      <c r="F17" s="85">
        <v>24</v>
      </c>
      <c r="G17" s="85">
        <f t="shared" si="1"/>
        <v>360</v>
      </c>
      <c r="H17" s="85">
        <v>1</v>
      </c>
      <c r="I17" s="147">
        <f t="shared" ref="I17:I22" si="2">+G17*H17</f>
        <v>360</v>
      </c>
      <c r="J17" s="335"/>
      <c r="N17" s="159"/>
    </row>
    <row r="18" spans="1:14" ht="33" x14ac:dyDescent="0.3">
      <c r="A18" s="190">
        <v>7</v>
      </c>
      <c r="B18" s="191" t="s">
        <v>120</v>
      </c>
      <c r="C18" s="246" t="str">
        <f>+'PAA OCI  '!B25</f>
        <v>Seguimiento adjudicación San Victorino</v>
      </c>
      <c r="D18" s="85">
        <v>16</v>
      </c>
      <c r="E18" s="333">
        <v>320</v>
      </c>
      <c r="F18" s="85">
        <v>24</v>
      </c>
      <c r="G18" s="85">
        <f t="shared" si="1"/>
        <v>360</v>
      </c>
      <c r="H18" s="85">
        <v>1</v>
      </c>
      <c r="I18" s="147">
        <f t="shared" si="2"/>
        <v>360</v>
      </c>
      <c r="J18" s="335"/>
      <c r="N18" s="159"/>
    </row>
    <row r="19" spans="1:14" ht="33" x14ac:dyDescent="0.3">
      <c r="A19" s="190">
        <v>8</v>
      </c>
      <c r="B19" s="191" t="s">
        <v>120</v>
      </c>
      <c r="C19" s="246" t="str">
        <f>+'PAA OCI  '!B26</f>
        <v>Seguimiento estado Obra Alcaldia Mártires</v>
      </c>
      <c r="D19" s="85">
        <v>16</v>
      </c>
      <c r="E19" s="333">
        <v>320</v>
      </c>
      <c r="F19" s="85">
        <v>24</v>
      </c>
      <c r="G19" s="85">
        <f t="shared" si="1"/>
        <v>360</v>
      </c>
      <c r="H19" s="85">
        <v>1</v>
      </c>
      <c r="I19" s="147">
        <f t="shared" si="2"/>
        <v>360</v>
      </c>
      <c r="J19" s="335"/>
      <c r="N19" s="159"/>
    </row>
    <row r="20" spans="1:14" ht="33" x14ac:dyDescent="0.3">
      <c r="A20" s="190">
        <v>9</v>
      </c>
      <c r="B20" s="191" t="s">
        <v>120</v>
      </c>
      <c r="C20" s="246" t="str">
        <f>+'PAA OCI  '!B27</f>
        <v>Seguimiento rol Empresa Ciudadela del Cuidado</v>
      </c>
      <c r="D20" s="85">
        <v>16</v>
      </c>
      <c r="E20" s="333">
        <v>320</v>
      </c>
      <c r="F20" s="85">
        <v>24</v>
      </c>
      <c r="G20" s="85">
        <f t="shared" si="1"/>
        <v>360</v>
      </c>
      <c r="H20" s="85">
        <v>1</v>
      </c>
      <c r="I20" s="147">
        <f t="shared" si="2"/>
        <v>360</v>
      </c>
      <c r="J20" s="335"/>
      <c r="N20" s="159"/>
    </row>
    <row r="21" spans="1:14" ht="66" x14ac:dyDescent="0.3">
      <c r="A21" s="190">
        <v>10</v>
      </c>
      <c r="B21" s="191" t="s">
        <v>120</v>
      </c>
      <c r="C21" s="246" t="str">
        <f>+'PAA OCI  '!B28</f>
        <v xml:space="preserve">Apoyo realización comité de auditoría y seguimiento de los compromisos establecidos </v>
      </c>
      <c r="D21" s="85">
        <v>16</v>
      </c>
      <c r="E21" s="333">
        <v>320</v>
      </c>
      <c r="F21" s="85">
        <v>24</v>
      </c>
      <c r="G21" s="85">
        <f t="shared" si="1"/>
        <v>360</v>
      </c>
      <c r="H21" s="85">
        <v>1</v>
      </c>
      <c r="I21" s="147">
        <f t="shared" si="2"/>
        <v>360</v>
      </c>
      <c r="J21" s="335"/>
      <c r="N21" s="159"/>
    </row>
    <row r="22" spans="1:14" ht="165" x14ac:dyDescent="0.3">
      <c r="A22" s="190">
        <v>11</v>
      </c>
      <c r="B22" s="191" t="s">
        <v>120</v>
      </c>
      <c r="C22" s="246" t="str">
        <f>+'PAA OCI  '!B29</f>
        <v>Proceso adquisición de suelo por enajenación voluntaria, expropiación administrativa o judicial - Adquisición proyectos Tercera Concurrencia - Adquisición proyecto San Bernardo Tercer Milenio AMD 1 – Convenio 3151-2019 suscrito con el IDRD.</v>
      </c>
      <c r="D22" s="85">
        <v>16</v>
      </c>
      <c r="E22" s="333">
        <v>320</v>
      </c>
      <c r="F22" s="85">
        <v>24</v>
      </c>
      <c r="G22" s="85">
        <f t="shared" si="1"/>
        <v>360</v>
      </c>
      <c r="H22" s="85">
        <v>1</v>
      </c>
      <c r="I22" s="147">
        <f t="shared" si="2"/>
        <v>360</v>
      </c>
      <c r="J22" s="335"/>
      <c r="N22" s="159"/>
    </row>
    <row r="23" spans="1:14" ht="66" x14ac:dyDescent="0.3">
      <c r="A23" s="190">
        <v>12</v>
      </c>
      <c r="B23" s="191" t="s">
        <v>120</v>
      </c>
      <c r="C23" s="246" t="str">
        <f>+'PAA OCI  '!B30</f>
        <v>Maduración y Calidad en la construccion del anexo técnico para los proyectos - gestión contractual</v>
      </c>
      <c r="D23" s="85">
        <v>16</v>
      </c>
      <c r="E23" s="333">
        <v>320</v>
      </c>
      <c r="F23" s="85">
        <v>24</v>
      </c>
      <c r="G23" s="85">
        <f t="shared" ref="G23:G29" si="3">SUM(D23:F23)</f>
        <v>360</v>
      </c>
      <c r="H23" s="85">
        <v>1</v>
      </c>
      <c r="I23" s="300">
        <f t="shared" ref="I23:I29" si="4">+G23*H23</f>
        <v>360</v>
      </c>
      <c r="J23" s="335"/>
      <c r="N23" s="159"/>
    </row>
    <row r="24" spans="1:14" x14ac:dyDescent="0.3">
      <c r="A24" s="190">
        <v>13</v>
      </c>
      <c r="B24" s="191" t="s">
        <v>120</v>
      </c>
      <c r="C24" s="246" t="e">
        <f>+'PAA OCI  '!#REF!</f>
        <v>#REF!</v>
      </c>
      <c r="D24" s="85">
        <v>16</v>
      </c>
      <c r="E24" s="333">
        <v>320</v>
      </c>
      <c r="F24" s="85">
        <v>24</v>
      </c>
      <c r="G24" s="85">
        <f t="shared" si="3"/>
        <v>360</v>
      </c>
      <c r="H24" s="85">
        <v>1</v>
      </c>
      <c r="I24" s="300">
        <f t="shared" si="4"/>
        <v>360</v>
      </c>
      <c r="J24" s="335"/>
      <c r="N24" s="159"/>
    </row>
    <row r="25" spans="1:14" ht="33" x14ac:dyDescent="0.3">
      <c r="A25" s="190">
        <v>14</v>
      </c>
      <c r="B25" s="191" t="s">
        <v>120</v>
      </c>
      <c r="C25" s="246" t="str">
        <f>+'PAA OCI  '!B31</f>
        <v>Auditoria implementación sistema de información SIM</v>
      </c>
      <c r="D25" s="85">
        <v>16</v>
      </c>
      <c r="E25" s="333">
        <v>320</v>
      </c>
      <c r="F25" s="85">
        <v>24</v>
      </c>
      <c r="G25" s="85">
        <f t="shared" si="3"/>
        <v>360</v>
      </c>
      <c r="H25" s="85">
        <v>1</v>
      </c>
      <c r="I25" s="300">
        <f t="shared" si="4"/>
        <v>360</v>
      </c>
      <c r="J25" s="335"/>
      <c r="N25" s="159"/>
    </row>
    <row r="26" spans="1:14" ht="33" x14ac:dyDescent="0.3">
      <c r="A26" s="190">
        <v>15</v>
      </c>
      <c r="B26" s="191" t="s">
        <v>120</v>
      </c>
      <c r="C26" s="246" t="str">
        <f>+'PAA OCI  '!B32</f>
        <v>Auditoria proyecto misional 1 (proyecto san Bernardo)</v>
      </c>
      <c r="D26" s="85">
        <v>16</v>
      </c>
      <c r="E26" s="333">
        <v>320</v>
      </c>
      <c r="F26" s="85">
        <v>24</v>
      </c>
      <c r="G26" s="85">
        <f t="shared" si="3"/>
        <v>360</v>
      </c>
      <c r="H26" s="85">
        <v>1</v>
      </c>
      <c r="I26" s="300">
        <f t="shared" si="4"/>
        <v>360</v>
      </c>
      <c r="J26" s="335"/>
      <c r="N26" s="159"/>
    </row>
    <row r="27" spans="1:14" ht="49.5" x14ac:dyDescent="0.3">
      <c r="A27" s="190">
        <v>16</v>
      </c>
      <c r="B27" s="191" t="s">
        <v>120</v>
      </c>
      <c r="C27" s="246" t="str">
        <f>+'PAA OCI  '!B33</f>
        <v>Auditoria proyecto misional 2 (Actuaciones Estrategicas)</v>
      </c>
      <c r="D27" s="85">
        <v>16</v>
      </c>
      <c r="E27" s="333">
        <v>320</v>
      </c>
      <c r="F27" s="85">
        <v>24</v>
      </c>
      <c r="G27" s="85">
        <f t="shared" si="3"/>
        <v>360</v>
      </c>
      <c r="H27" s="85">
        <v>1</v>
      </c>
      <c r="I27" s="300">
        <f t="shared" si="4"/>
        <v>360</v>
      </c>
      <c r="J27" s="335"/>
      <c r="N27" s="159"/>
    </row>
    <row r="28" spans="1:14" ht="33" x14ac:dyDescent="0.3">
      <c r="A28" s="190">
        <v>17</v>
      </c>
      <c r="B28" s="191" t="s">
        <v>120</v>
      </c>
      <c r="C28" s="246" t="str">
        <f>+'PAA OCI  '!B34</f>
        <v>Auditoria de Gestión Contractual</v>
      </c>
      <c r="D28" s="85">
        <v>16</v>
      </c>
      <c r="E28" s="333">
        <v>320</v>
      </c>
      <c r="F28" s="85">
        <v>24</v>
      </c>
      <c r="G28" s="85">
        <f t="shared" si="3"/>
        <v>360</v>
      </c>
      <c r="H28" s="85">
        <v>1</v>
      </c>
      <c r="I28" s="300">
        <f t="shared" si="4"/>
        <v>360</v>
      </c>
      <c r="J28" s="335"/>
      <c r="N28" s="159"/>
    </row>
    <row r="29" spans="1:14" ht="49.5" x14ac:dyDescent="0.3">
      <c r="A29" s="190">
        <v>18</v>
      </c>
      <c r="B29" s="191" t="s">
        <v>120</v>
      </c>
      <c r="C29" s="246" t="str">
        <f>+'PAA OCI  '!B35</f>
        <v>Auditoria proceso administrativo 1 (Esquema Fiduciario)</v>
      </c>
      <c r="D29" s="85">
        <v>16</v>
      </c>
      <c r="E29" s="333">
        <v>320</v>
      </c>
      <c r="F29" s="85">
        <v>24</v>
      </c>
      <c r="G29" s="85">
        <f t="shared" si="3"/>
        <v>360</v>
      </c>
      <c r="H29" s="85">
        <v>1</v>
      </c>
      <c r="I29" s="300">
        <f t="shared" si="4"/>
        <v>360</v>
      </c>
      <c r="J29" s="335"/>
      <c r="N29" s="159"/>
    </row>
    <row r="30" spans="1:14" x14ac:dyDescent="0.3">
      <c r="A30" s="190">
        <v>19</v>
      </c>
      <c r="B30" s="191" t="s">
        <v>120</v>
      </c>
      <c r="C30" s="247" t="e">
        <f>+'PAA OCI  '!#REF!</f>
        <v>#REF!</v>
      </c>
      <c r="D30" s="85">
        <v>16</v>
      </c>
      <c r="E30" s="334">
        <v>30</v>
      </c>
      <c r="F30" s="338">
        <v>8</v>
      </c>
      <c r="G30" s="85">
        <f t="shared" si="1"/>
        <v>54</v>
      </c>
      <c r="H30" s="85">
        <v>1</v>
      </c>
      <c r="I30" s="98">
        <f t="shared" si="0"/>
        <v>54</v>
      </c>
      <c r="J30" s="335"/>
    </row>
    <row r="31" spans="1:14" ht="82.5" x14ac:dyDescent="0.3">
      <c r="A31" s="190">
        <v>20</v>
      </c>
      <c r="B31" s="191" t="s">
        <v>120</v>
      </c>
      <c r="C31" s="247" t="str">
        <f>+'PAA OCI  '!B38</f>
        <v>Asesoria y seguimiento a la Implementación del Sistema de Gestión de Calidad bajo concepto del estándar NTC ISO 9001:2015</v>
      </c>
      <c r="D31" s="334">
        <v>72</v>
      </c>
      <c r="E31" s="334">
        <v>200</v>
      </c>
      <c r="F31" s="334">
        <v>80</v>
      </c>
      <c r="G31" s="85">
        <f>SUM(D31:F31)</f>
        <v>352</v>
      </c>
      <c r="H31" s="193">
        <v>1</v>
      </c>
      <c r="I31" s="98">
        <f t="shared" si="0"/>
        <v>352</v>
      </c>
      <c r="J31" s="335"/>
    </row>
    <row r="32" spans="1:14" ht="132" x14ac:dyDescent="0.3">
      <c r="A32" s="190">
        <v>21</v>
      </c>
      <c r="B32" s="191" t="s">
        <v>120</v>
      </c>
      <c r="C32" s="247" t="str">
        <f>+'PAA OCI  '!B39</f>
        <v>Verificacion de la Conformidad del  Sistema de Gestión de la Calidad bajo el concepto del estándar NTC ISO 9001:2015 de la Empresa (Ciclo  Auditorias Internas de Calidad 2022).</v>
      </c>
      <c r="D32" s="334">
        <v>72</v>
      </c>
      <c r="E32" s="334">
        <v>200</v>
      </c>
      <c r="F32" s="334">
        <v>80</v>
      </c>
      <c r="G32" s="85">
        <f>SUM(D32:F32)</f>
        <v>352</v>
      </c>
      <c r="H32" s="193">
        <v>1</v>
      </c>
      <c r="I32" s="98">
        <f t="shared" si="0"/>
        <v>352</v>
      </c>
      <c r="J32" s="335"/>
    </row>
    <row r="33" spans="1:10" ht="49.5" x14ac:dyDescent="0.3">
      <c r="A33" s="190">
        <v>22</v>
      </c>
      <c r="B33" s="191" t="s">
        <v>118</v>
      </c>
      <c r="C33" s="248" t="str">
        <f>+'PAA OCI  '!B42</f>
        <v>Seguimiento y Control al Programa de Transparencia y Etica Pública</v>
      </c>
      <c r="D33" s="193">
        <v>32</v>
      </c>
      <c r="E33" s="193">
        <v>40</v>
      </c>
      <c r="F33" s="193">
        <v>8</v>
      </c>
      <c r="G33" s="85">
        <f t="shared" si="1"/>
        <v>80</v>
      </c>
      <c r="H33" s="193">
        <v>3</v>
      </c>
      <c r="I33" s="98">
        <f t="shared" si="0"/>
        <v>240</v>
      </c>
      <c r="J33" s="335"/>
    </row>
    <row r="34" spans="1:10" ht="66" x14ac:dyDescent="0.3">
      <c r="A34" s="190">
        <v>23</v>
      </c>
      <c r="B34" s="191" t="s">
        <v>118</v>
      </c>
      <c r="C34" s="248" t="str">
        <f>+'PAA OCI  '!B43</f>
        <v>Seguimientos a publicaciones de la Contratación en la Plataforma SECOP</v>
      </c>
      <c r="D34" s="334">
        <v>16</v>
      </c>
      <c r="E34" s="334">
        <v>32</v>
      </c>
      <c r="F34" s="193">
        <v>8</v>
      </c>
      <c r="G34" s="85">
        <f t="shared" si="1"/>
        <v>56</v>
      </c>
      <c r="H34" s="334">
        <v>6</v>
      </c>
      <c r="I34" s="98">
        <f t="shared" si="0"/>
        <v>336</v>
      </c>
      <c r="J34" s="335"/>
    </row>
    <row r="35" spans="1:10" ht="49.5" x14ac:dyDescent="0.3">
      <c r="A35" s="190">
        <v>24</v>
      </c>
      <c r="B35" s="191" t="s">
        <v>118</v>
      </c>
      <c r="C35" s="248" t="str">
        <f>+'PAA OCI  '!B44</f>
        <v>Informe de evaluación del Sistema de Control Interno Contable</v>
      </c>
      <c r="D35" s="193">
        <v>8</v>
      </c>
      <c r="E35" s="193">
        <v>24</v>
      </c>
      <c r="F35" s="193">
        <v>16</v>
      </c>
      <c r="G35" s="85">
        <f t="shared" si="1"/>
        <v>48</v>
      </c>
      <c r="H35" s="193">
        <v>1</v>
      </c>
      <c r="I35" s="98">
        <f t="shared" si="0"/>
        <v>48</v>
      </c>
      <c r="J35" s="335"/>
    </row>
    <row r="36" spans="1:10" ht="66" x14ac:dyDescent="0.3">
      <c r="A36" s="190">
        <v>25</v>
      </c>
      <c r="B36" s="191" t="s">
        <v>118</v>
      </c>
      <c r="C36" s="248" t="str">
        <f>+'PAA OCI  '!B45</f>
        <v>Informe Semestral de Evaluación Independiente del Sistema de Control Interno</v>
      </c>
      <c r="D36" s="334">
        <v>36</v>
      </c>
      <c r="E36" s="334">
        <v>72</v>
      </c>
      <c r="F36" s="193">
        <v>16</v>
      </c>
      <c r="G36" s="85">
        <f t="shared" si="1"/>
        <v>124</v>
      </c>
      <c r="H36" s="334">
        <v>2</v>
      </c>
      <c r="I36" s="147">
        <f>+G36*H36</f>
        <v>248</v>
      </c>
      <c r="J36" s="335"/>
    </row>
    <row r="37" spans="1:10" ht="66" x14ac:dyDescent="0.3">
      <c r="A37" s="190">
        <v>26</v>
      </c>
      <c r="B37" s="191" t="s">
        <v>118</v>
      </c>
      <c r="C37" s="248" t="str">
        <f>+'PAA OCI  '!B46</f>
        <v>Seguimiento Comité de Defensa Judicial, Conciliación y Repetición y SIPROJ</v>
      </c>
      <c r="D37" s="193">
        <f>3.5*8</f>
        <v>28</v>
      </c>
      <c r="E37" s="193">
        <f>7*8</f>
        <v>56</v>
      </c>
      <c r="F37" s="193">
        <f>1.5*8</f>
        <v>12</v>
      </c>
      <c r="G37" s="85">
        <f t="shared" si="1"/>
        <v>96</v>
      </c>
      <c r="H37" s="193">
        <v>2</v>
      </c>
      <c r="I37" s="147">
        <f t="shared" ref="I37:I70" si="5">+G37*H37</f>
        <v>192</v>
      </c>
      <c r="J37" s="335"/>
    </row>
    <row r="38" spans="1:10" ht="148.5" x14ac:dyDescent="0.3">
      <c r="A38" s="190">
        <v>27</v>
      </c>
      <c r="B38" s="191" t="s">
        <v>118</v>
      </c>
      <c r="C38" s="248" t="str">
        <f>+'PAA OCI  '!B47</f>
        <v>Seguimiento a Directrices para Prevenir Conductas Irregulares sobre Incumplimiento de Manuales de Funciones y de Procedimientos y Pérdida de Elementos y Documentos Público. Directiva 008 de 2021</v>
      </c>
      <c r="D38" s="334">
        <v>24</v>
      </c>
      <c r="E38" s="193">
        <v>24</v>
      </c>
      <c r="F38" s="193">
        <v>8</v>
      </c>
      <c r="G38" s="85">
        <f t="shared" si="1"/>
        <v>56</v>
      </c>
      <c r="H38" s="193">
        <v>1</v>
      </c>
      <c r="I38" s="147">
        <f>+G38*H38</f>
        <v>56</v>
      </c>
      <c r="J38" s="335"/>
    </row>
    <row r="39" spans="1:10" ht="82.5" x14ac:dyDescent="0.3">
      <c r="A39" s="190">
        <v>28</v>
      </c>
      <c r="B39" s="191" t="s">
        <v>118</v>
      </c>
      <c r="C39" s="248" t="str">
        <f>+'PAA OCI  '!B48</f>
        <v>Seguimiento a Peticiones, Quejas, Reclamos, Sugerencias y Felicitaciones - Derechos de Petición</v>
      </c>
      <c r="D39" s="193">
        <v>40</v>
      </c>
      <c r="E39" s="193">
        <f>7*8</f>
        <v>56</v>
      </c>
      <c r="F39" s="193">
        <f>1.5*8</f>
        <v>12</v>
      </c>
      <c r="G39" s="85">
        <f t="shared" si="1"/>
        <v>108</v>
      </c>
      <c r="H39" s="334">
        <v>4</v>
      </c>
      <c r="I39" s="147">
        <f t="shared" si="5"/>
        <v>432</v>
      </c>
      <c r="J39" s="335"/>
    </row>
    <row r="40" spans="1:10" ht="66" x14ac:dyDescent="0.3">
      <c r="A40" s="190">
        <v>29</v>
      </c>
      <c r="B40" s="191" t="s">
        <v>118</v>
      </c>
      <c r="C40" s="248" t="str">
        <f>+'PAA OCI  '!B49</f>
        <v>Seguimiento Cuadro resumen auditorías externas e internas  realizadas</v>
      </c>
      <c r="D40" s="193">
        <v>40</v>
      </c>
      <c r="E40" s="193">
        <f>7*8</f>
        <v>56</v>
      </c>
      <c r="F40" s="193">
        <f>1.5*8</f>
        <v>12</v>
      </c>
      <c r="G40" s="85">
        <f t="shared" si="1"/>
        <v>108</v>
      </c>
      <c r="H40" s="334">
        <v>2</v>
      </c>
      <c r="I40" s="147">
        <f t="shared" si="5"/>
        <v>216</v>
      </c>
      <c r="J40" s="335"/>
    </row>
    <row r="41" spans="1:10" ht="66" x14ac:dyDescent="0.3">
      <c r="A41" s="190">
        <v>30</v>
      </c>
      <c r="B41" s="191" t="s">
        <v>118</v>
      </c>
      <c r="C41" s="248" t="str">
        <f>+'PAA OCI  '!B50</f>
        <v>Seguimiento Estado de Cumplimiento Metas Plan de Desarrollo e Indicadores</v>
      </c>
      <c r="D41" s="193">
        <v>40</v>
      </c>
      <c r="E41" s="193">
        <f>7*8</f>
        <v>56</v>
      </c>
      <c r="F41" s="193">
        <f>1.5*8</f>
        <v>12</v>
      </c>
      <c r="G41" s="85">
        <f t="shared" si="1"/>
        <v>108</v>
      </c>
      <c r="H41" s="193">
        <v>4</v>
      </c>
      <c r="I41" s="147">
        <f t="shared" si="5"/>
        <v>432</v>
      </c>
      <c r="J41" s="335"/>
    </row>
    <row r="42" spans="1:10" ht="33" x14ac:dyDescent="0.3">
      <c r="A42" s="190">
        <v>31</v>
      </c>
      <c r="B42" s="191" t="s">
        <v>118</v>
      </c>
      <c r="C42" s="248" t="str">
        <f>+'PAA OCI  '!B51</f>
        <v>Seguimiento Acuerdos de Gestión</v>
      </c>
      <c r="D42" s="334">
        <v>48</v>
      </c>
      <c r="E42" s="193">
        <v>48</v>
      </c>
      <c r="F42" s="193">
        <v>12</v>
      </c>
      <c r="G42" s="85">
        <f t="shared" si="1"/>
        <v>108</v>
      </c>
      <c r="H42" s="193">
        <v>2</v>
      </c>
      <c r="I42" s="147">
        <f t="shared" si="5"/>
        <v>216</v>
      </c>
      <c r="J42" s="335"/>
    </row>
    <row r="43" spans="1:10" ht="99" x14ac:dyDescent="0.3">
      <c r="A43" s="190">
        <v>32</v>
      </c>
      <c r="B43" s="191" t="s">
        <v>118</v>
      </c>
      <c r="C43" s="248" t="str">
        <f>+'PAA OCI  '!B52</f>
        <v xml:space="preserve">Seguimiento a Verificación, Recomendaciones y Resultados sobre Cumplimiento de normas en materia de Derechos de Autor sobre Software </v>
      </c>
      <c r="D43" s="193">
        <f>2.5*8</f>
        <v>20</v>
      </c>
      <c r="E43" s="334">
        <v>120</v>
      </c>
      <c r="F43" s="193">
        <f>2*8</f>
        <v>16</v>
      </c>
      <c r="G43" s="85">
        <f t="shared" si="1"/>
        <v>156</v>
      </c>
      <c r="H43" s="193">
        <v>1</v>
      </c>
      <c r="I43" s="147">
        <f t="shared" si="5"/>
        <v>156</v>
      </c>
      <c r="J43" s="335"/>
    </row>
    <row r="44" spans="1:10" ht="33" x14ac:dyDescent="0.3">
      <c r="A44" s="190">
        <v>33</v>
      </c>
      <c r="B44" s="191" t="s">
        <v>118</v>
      </c>
      <c r="C44" s="248" t="str">
        <f>+'PAA OCI  '!B53</f>
        <v xml:space="preserve">Informe Integral de Gestión OCI </v>
      </c>
      <c r="D44" s="193">
        <v>32</v>
      </c>
      <c r="E44" s="193">
        <v>40</v>
      </c>
      <c r="F44" s="334">
        <v>16</v>
      </c>
      <c r="G44" s="85">
        <f t="shared" si="1"/>
        <v>88</v>
      </c>
      <c r="H44" s="193">
        <v>2</v>
      </c>
      <c r="I44" s="147">
        <f t="shared" si="5"/>
        <v>176</v>
      </c>
      <c r="J44" s="335"/>
    </row>
    <row r="45" spans="1:10" ht="33" x14ac:dyDescent="0.3">
      <c r="A45" s="190">
        <v>34</v>
      </c>
      <c r="B45" s="191" t="s">
        <v>118</v>
      </c>
      <c r="C45" s="248" t="str">
        <f>+'PAA OCI  '!B54</f>
        <v>Seguimiento a la Austeridad en el Gasto</v>
      </c>
      <c r="D45" s="334">
        <v>32</v>
      </c>
      <c r="E45" s="193">
        <v>40</v>
      </c>
      <c r="F45" s="193">
        <v>12</v>
      </c>
      <c r="G45" s="85">
        <f t="shared" si="1"/>
        <v>84</v>
      </c>
      <c r="H45" s="193">
        <v>4</v>
      </c>
      <c r="I45" s="147">
        <f t="shared" si="5"/>
        <v>336</v>
      </c>
      <c r="J45" s="335"/>
    </row>
    <row r="46" spans="1:10" ht="33" x14ac:dyDescent="0.3">
      <c r="A46" s="190">
        <v>35</v>
      </c>
      <c r="B46" s="191" t="s">
        <v>118</v>
      </c>
      <c r="C46" s="248" t="str">
        <f>+'PAA OCI  '!B55</f>
        <v>Evaluación de los Riesgos  de Corrupción</v>
      </c>
      <c r="D46" s="193">
        <v>48</v>
      </c>
      <c r="E46" s="193">
        <v>40</v>
      </c>
      <c r="F46" s="193">
        <v>12</v>
      </c>
      <c r="G46" s="85">
        <f t="shared" si="1"/>
        <v>100</v>
      </c>
      <c r="H46" s="193">
        <v>3</v>
      </c>
      <c r="I46" s="147">
        <f t="shared" si="5"/>
        <v>300</v>
      </c>
      <c r="J46" s="335"/>
    </row>
    <row r="47" spans="1:10" ht="33" x14ac:dyDescent="0.3">
      <c r="A47" s="190">
        <v>36</v>
      </c>
      <c r="B47" s="191" t="s">
        <v>118</v>
      </c>
      <c r="C47" s="248" t="str">
        <f>+'PAA OCI  '!B56</f>
        <v>Evaluación de los Riesgos  de Gestión</v>
      </c>
      <c r="D47" s="193">
        <v>24</v>
      </c>
      <c r="E47" s="193">
        <v>20</v>
      </c>
      <c r="F47" s="334">
        <v>12</v>
      </c>
      <c r="G47" s="85">
        <f t="shared" si="1"/>
        <v>56</v>
      </c>
      <c r="H47" s="193">
        <v>2</v>
      </c>
      <c r="I47" s="147">
        <f t="shared" si="5"/>
        <v>112</v>
      </c>
      <c r="J47" s="335"/>
    </row>
    <row r="48" spans="1:10" ht="66" x14ac:dyDescent="0.3">
      <c r="A48" s="190">
        <v>37</v>
      </c>
      <c r="B48" s="191" t="s">
        <v>118</v>
      </c>
      <c r="C48" s="248" t="str">
        <f>+'PAA OCI  '!B57</f>
        <v>Evaluación y Seguimiento Implementación MIPG  7 dimensiones y 18 políticas - e informes FURAG.</v>
      </c>
      <c r="D48" s="334">
        <v>64</v>
      </c>
      <c r="E48" s="193">
        <v>40</v>
      </c>
      <c r="F48" s="193">
        <v>16</v>
      </c>
      <c r="G48" s="85">
        <f t="shared" si="1"/>
        <v>120</v>
      </c>
      <c r="H48" s="193">
        <v>1</v>
      </c>
      <c r="I48" s="147">
        <f t="shared" si="5"/>
        <v>120</v>
      </c>
      <c r="J48" s="335"/>
    </row>
    <row r="49" spans="1:10" ht="66" x14ac:dyDescent="0.3">
      <c r="A49" s="190">
        <v>38</v>
      </c>
      <c r="B49" s="191" t="s">
        <v>118</v>
      </c>
      <c r="C49" s="248" t="str">
        <f>+'PAA OCI  '!B58</f>
        <v>Seguimiento Proceso Armonización Planes de Desarrollo - continuidad proyectos</v>
      </c>
      <c r="D49" s="193">
        <f>2.5*8</f>
        <v>20</v>
      </c>
      <c r="E49" s="193">
        <f>3*8</f>
        <v>24</v>
      </c>
      <c r="F49" s="193">
        <f>2*8</f>
        <v>16</v>
      </c>
      <c r="G49" s="85">
        <f t="shared" si="1"/>
        <v>60</v>
      </c>
      <c r="H49" s="193">
        <v>1</v>
      </c>
      <c r="I49" s="147">
        <f t="shared" si="5"/>
        <v>60</v>
      </c>
      <c r="J49" s="335"/>
    </row>
    <row r="50" spans="1:10" ht="33" x14ac:dyDescent="0.3">
      <c r="A50" s="190">
        <v>39</v>
      </c>
      <c r="B50" s="191" t="s">
        <v>118</v>
      </c>
      <c r="C50" s="248" t="str">
        <f>+'PAA OCI  '!B59</f>
        <v>Seguimiento Comité de Sostenibilidad Contable</v>
      </c>
      <c r="D50" s="193">
        <v>8</v>
      </c>
      <c r="E50" s="193">
        <v>16</v>
      </c>
      <c r="F50" s="193">
        <v>4</v>
      </c>
      <c r="G50" s="85">
        <f t="shared" si="1"/>
        <v>28</v>
      </c>
      <c r="H50" s="193">
        <v>2</v>
      </c>
      <c r="I50" s="147">
        <f t="shared" si="5"/>
        <v>56</v>
      </c>
      <c r="J50" s="335"/>
    </row>
    <row r="51" spans="1:10" ht="66" x14ac:dyDescent="0.3">
      <c r="A51" s="190">
        <v>40</v>
      </c>
      <c r="B51" s="191" t="s">
        <v>118</v>
      </c>
      <c r="C51" s="248" t="str">
        <f>+'PAA OCI  '!B60</f>
        <v>Seguimiento a la implementación  del Código de Integridad de la Empresa vigencia 2024</v>
      </c>
      <c r="D51" s="334">
        <v>40</v>
      </c>
      <c r="E51" s="334">
        <v>48</v>
      </c>
      <c r="F51" s="334">
        <v>16</v>
      </c>
      <c r="G51" s="85">
        <f t="shared" si="1"/>
        <v>104</v>
      </c>
      <c r="H51" s="334">
        <v>2</v>
      </c>
      <c r="I51" s="147">
        <f t="shared" si="5"/>
        <v>208</v>
      </c>
      <c r="J51" s="335"/>
    </row>
    <row r="52" spans="1:10" ht="66" x14ac:dyDescent="0.3">
      <c r="A52" s="190">
        <v>41</v>
      </c>
      <c r="B52" s="191" t="s">
        <v>118</v>
      </c>
      <c r="C52" s="248" t="str">
        <f>+'PAA OCI  '!B61</f>
        <v>Seguimiento Reporte - Ley e índice de Transparencia y Acceso a la Información - ITA.</v>
      </c>
      <c r="D52" s="193">
        <v>32</v>
      </c>
      <c r="E52" s="193">
        <v>64</v>
      </c>
      <c r="F52" s="334">
        <v>24</v>
      </c>
      <c r="G52" s="85">
        <f t="shared" si="1"/>
        <v>120</v>
      </c>
      <c r="H52" s="334">
        <v>3</v>
      </c>
      <c r="I52" s="147">
        <f t="shared" si="5"/>
        <v>360</v>
      </c>
      <c r="J52" s="335"/>
    </row>
    <row r="53" spans="1:10" ht="33" x14ac:dyDescent="0.3">
      <c r="A53" s="190">
        <v>42</v>
      </c>
      <c r="B53" s="191" t="s">
        <v>118</v>
      </c>
      <c r="C53" s="248" t="str">
        <f>+'PAA OCI  '!B62</f>
        <v>Campaña de fomento de Autocontrol</v>
      </c>
      <c r="D53" s="334">
        <v>40</v>
      </c>
      <c r="E53" s="334">
        <v>20</v>
      </c>
      <c r="F53" s="334">
        <v>32</v>
      </c>
      <c r="G53" s="85">
        <f t="shared" si="1"/>
        <v>92</v>
      </c>
      <c r="H53" s="193">
        <v>2</v>
      </c>
      <c r="I53" s="147">
        <f t="shared" si="5"/>
        <v>184</v>
      </c>
      <c r="J53" s="335"/>
    </row>
    <row r="54" spans="1:10" ht="66" x14ac:dyDescent="0.3">
      <c r="A54" s="190">
        <v>43</v>
      </c>
      <c r="B54" s="191" t="s">
        <v>118</v>
      </c>
      <c r="C54" s="248" t="str">
        <f>+'PAA OCI  '!B63</f>
        <v>Prestar los servicios de asesoría y acompañamiento requeridos</v>
      </c>
      <c r="D54" s="334">
        <v>72</v>
      </c>
      <c r="E54" s="337">
        <f>200+1175</f>
        <v>1375</v>
      </c>
      <c r="F54" s="193">
        <v>0</v>
      </c>
      <c r="G54" s="85">
        <f t="shared" si="1"/>
        <v>1447</v>
      </c>
      <c r="H54" s="334">
        <v>1</v>
      </c>
      <c r="I54" s="147">
        <f t="shared" si="5"/>
        <v>1447</v>
      </c>
      <c r="J54" s="336" t="s">
        <v>570</v>
      </c>
    </row>
    <row r="55" spans="1:10" x14ac:dyDescent="0.3">
      <c r="A55" s="190">
        <v>44</v>
      </c>
      <c r="B55" s="191" t="s">
        <v>118</v>
      </c>
      <c r="C55" s="248" t="e">
        <f>+'PAA OCI  '!#REF!</f>
        <v>#REF!</v>
      </c>
      <c r="D55" s="193">
        <v>1</v>
      </c>
      <c r="E55" s="193">
        <v>1</v>
      </c>
      <c r="F55" s="193">
        <v>0</v>
      </c>
      <c r="G55" s="85">
        <f t="shared" si="1"/>
        <v>2</v>
      </c>
      <c r="H55" s="193">
        <v>3</v>
      </c>
      <c r="I55" s="147">
        <f t="shared" si="5"/>
        <v>6</v>
      </c>
      <c r="J55" s="335"/>
    </row>
    <row r="56" spans="1:10" ht="33" x14ac:dyDescent="0.3">
      <c r="A56" s="190">
        <v>45</v>
      </c>
      <c r="B56" s="191" t="s">
        <v>118</v>
      </c>
      <c r="C56" s="248" t="str">
        <f>+'PAA OCI  '!B64</f>
        <v xml:space="preserve">Diagnóstico implementación NIAS </v>
      </c>
      <c r="D56" s="193">
        <v>32</v>
      </c>
      <c r="E56" s="334">
        <v>48</v>
      </c>
      <c r="F56" s="334">
        <v>36</v>
      </c>
      <c r="G56" s="85">
        <f t="shared" si="1"/>
        <v>116</v>
      </c>
      <c r="H56" s="193">
        <v>1</v>
      </c>
      <c r="I56" s="147">
        <f t="shared" si="5"/>
        <v>116</v>
      </c>
      <c r="J56" s="335"/>
    </row>
    <row r="57" spans="1:10" ht="49.5" x14ac:dyDescent="0.3">
      <c r="A57" s="190">
        <v>46</v>
      </c>
      <c r="B57" s="191" t="s">
        <v>118</v>
      </c>
      <c r="C57" s="248" t="str">
        <f>+'PAA OCI  '!B65</f>
        <v>Activos de Información y Funcionamiento Software que maneja la Empresa</v>
      </c>
      <c r="D57" s="341">
        <v>0</v>
      </c>
      <c r="E57" s="341">
        <v>0</v>
      </c>
      <c r="F57" s="341">
        <v>0</v>
      </c>
      <c r="G57" s="342">
        <f t="shared" si="1"/>
        <v>0</v>
      </c>
      <c r="H57" s="341">
        <v>0</v>
      </c>
      <c r="I57" s="343">
        <f t="shared" si="5"/>
        <v>0</v>
      </c>
      <c r="J57" s="335"/>
    </row>
    <row r="58" spans="1:10" ht="33" x14ac:dyDescent="0.3">
      <c r="A58" s="190">
        <v>47</v>
      </c>
      <c r="B58" s="191" t="s">
        <v>118</v>
      </c>
      <c r="C58" s="248" t="str">
        <f>+'PAA OCI  '!B66</f>
        <v>Seguimiento líneas de Defensa</v>
      </c>
      <c r="D58" s="193">
        <v>32</v>
      </c>
      <c r="E58" s="334">
        <v>48</v>
      </c>
      <c r="F58" s="334">
        <v>36</v>
      </c>
      <c r="G58" s="85">
        <f t="shared" si="1"/>
        <v>116</v>
      </c>
      <c r="H58" s="193">
        <v>1</v>
      </c>
      <c r="I58" s="300">
        <f>+G58*H58</f>
        <v>116</v>
      </c>
      <c r="J58" s="335"/>
    </row>
    <row r="59" spans="1:10" ht="49.5" x14ac:dyDescent="0.3">
      <c r="A59" s="190">
        <v>48</v>
      </c>
      <c r="B59" s="191" t="s">
        <v>118</v>
      </c>
      <c r="C59" s="248" t="str">
        <f>+'PAA OCI  '!B67</f>
        <v>Seguimiento a la actualización de bases de datos en RNBD</v>
      </c>
      <c r="D59" s="193">
        <v>32</v>
      </c>
      <c r="E59" s="193">
        <v>40</v>
      </c>
      <c r="F59" s="334">
        <v>16</v>
      </c>
      <c r="G59" s="85">
        <f t="shared" si="1"/>
        <v>88</v>
      </c>
      <c r="H59" s="193">
        <v>1</v>
      </c>
      <c r="I59" s="147">
        <f t="shared" si="5"/>
        <v>88</v>
      </c>
      <c r="J59" s="335"/>
    </row>
    <row r="60" spans="1:10" ht="33" x14ac:dyDescent="0.3">
      <c r="A60" s="190">
        <v>49</v>
      </c>
      <c r="B60" s="191" t="s">
        <v>118</v>
      </c>
      <c r="C60" s="248" t="str">
        <f>+'PAA OCI  '!B68</f>
        <v>Programa Aseguramiento Calidad de la Auditoria</v>
      </c>
      <c r="D60" s="193">
        <v>32</v>
      </c>
      <c r="E60" s="334">
        <v>48</v>
      </c>
      <c r="F60" s="334">
        <v>36</v>
      </c>
      <c r="G60" s="85">
        <f t="shared" ref="G60:G63" si="6">SUM(D60:F60)</f>
        <v>116</v>
      </c>
      <c r="H60" s="193">
        <v>1</v>
      </c>
      <c r="I60" s="300">
        <f>+G60*H60</f>
        <v>116</v>
      </c>
      <c r="J60" s="335"/>
    </row>
    <row r="61" spans="1:10" ht="49.5" x14ac:dyDescent="0.3">
      <c r="A61" s="190">
        <v>50</v>
      </c>
      <c r="B61" s="191" t="s">
        <v>118</v>
      </c>
      <c r="C61" s="248" t="str">
        <f>+'PAA OCI  '!B69</f>
        <v>Seguimiento Cajas Menores (SE EFECTUAN SIN PREVIO AVISO)</v>
      </c>
      <c r="D61" s="334">
        <v>8</v>
      </c>
      <c r="E61" s="334">
        <v>10</v>
      </c>
      <c r="F61" s="334">
        <v>6</v>
      </c>
      <c r="G61" s="85">
        <f t="shared" si="6"/>
        <v>24</v>
      </c>
      <c r="H61" s="334">
        <v>4</v>
      </c>
      <c r="I61" s="147">
        <f>+G61*H61</f>
        <v>96</v>
      </c>
      <c r="J61" s="335"/>
    </row>
    <row r="62" spans="1:10" ht="33" x14ac:dyDescent="0.3">
      <c r="A62" s="190">
        <v>51</v>
      </c>
      <c r="B62" s="191" t="s">
        <v>118</v>
      </c>
      <c r="C62" s="248" t="str">
        <f>+'PAA OCI  '!B70</f>
        <v>Seguimiento Plan de Mejoramiento por Procesos</v>
      </c>
      <c r="D62" s="193">
        <v>32</v>
      </c>
      <c r="E62" s="193">
        <v>40</v>
      </c>
      <c r="F62" s="193">
        <v>8</v>
      </c>
      <c r="G62" s="85">
        <f t="shared" si="6"/>
        <v>80</v>
      </c>
      <c r="H62" s="193">
        <v>1</v>
      </c>
      <c r="I62" s="147">
        <f>+G62*H62</f>
        <v>80</v>
      </c>
      <c r="J62" s="335"/>
    </row>
    <row r="63" spans="1:10" ht="33" x14ac:dyDescent="0.3">
      <c r="A63" s="190">
        <v>52</v>
      </c>
      <c r="B63" s="191" t="s">
        <v>118</v>
      </c>
      <c r="C63" s="248" t="str">
        <f>+'PAA OCI  '!B71</f>
        <v>Seguimiento Directiva 015 de 2022</v>
      </c>
      <c r="D63" s="193">
        <v>16</v>
      </c>
      <c r="E63" s="193">
        <v>32</v>
      </c>
      <c r="F63" s="334">
        <v>8</v>
      </c>
      <c r="G63" s="85">
        <f t="shared" si="6"/>
        <v>56</v>
      </c>
      <c r="H63" s="193">
        <v>1</v>
      </c>
      <c r="I63" s="300">
        <f>+G63*H63</f>
        <v>56</v>
      </c>
      <c r="J63" s="335"/>
    </row>
    <row r="64" spans="1:10" ht="49.5" x14ac:dyDescent="0.3">
      <c r="A64" s="190">
        <v>53</v>
      </c>
      <c r="B64" s="191" t="s">
        <v>246</v>
      </c>
      <c r="C64" s="249" t="str">
        <f>+'PAA OCI  '!B73</f>
        <v>Asistencia y Participación en los Comités Institucionales</v>
      </c>
      <c r="D64" s="193">
        <v>1</v>
      </c>
      <c r="E64" s="193">
        <v>2</v>
      </c>
      <c r="F64" s="334">
        <v>1</v>
      </c>
      <c r="G64" s="85">
        <f t="shared" si="1"/>
        <v>4</v>
      </c>
      <c r="H64" s="193">
        <v>30</v>
      </c>
      <c r="I64" s="147">
        <f t="shared" si="5"/>
        <v>120</v>
      </c>
      <c r="J64" s="335"/>
    </row>
    <row r="65" spans="1:10" ht="33" x14ac:dyDescent="0.3">
      <c r="A65" s="190">
        <v>54</v>
      </c>
      <c r="B65" s="191" t="s">
        <v>246</v>
      </c>
      <c r="C65" s="249" t="str">
        <f>+'PAA OCI  '!B74</f>
        <v xml:space="preserve">Reuniones de Autoevaluación Proceso </v>
      </c>
      <c r="D65" s="193">
        <v>1</v>
      </c>
      <c r="E65" s="193">
        <v>1</v>
      </c>
      <c r="F65" s="334">
        <v>3</v>
      </c>
      <c r="G65" s="85">
        <f t="shared" si="1"/>
        <v>5</v>
      </c>
      <c r="H65" s="193">
        <v>12</v>
      </c>
      <c r="I65" s="147">
        <f t="shared" si="5"/>
        <v>60</v>
      </c>
      <c r="J65" s="336" t="s">
        <v>569</v>
      </c>
    </row>
    <row r="66" spans="1:10" ht="198" x14ac:dyDescent="0.3">
      <c r="A66" s="190">
        <v>55</v>
      </c>
      <c r="B66" s="191" t="s">
        <v>246</v>
      </c>
      <c r="C66" s="249" t="str">
        <f>+'PAA OCI  '!B75</f>
        <v>Revisión y actualización del Proceso Evaluación y Seguimiento: Revisión procedimientos, instructivos, formatos, indicadores y riesgos del proceso, asignación y seguimiento  de tareas y actividades programadas, determinación de directrices e instrucciones al grupo de trabajo</v>
      </c>
      <c r="D66" s="193">
        <v>32</v>
      </c>
      <c r="E66" s="334">
        <v>72</v>
      </c>
      <c r="F66" s="193">
        <v>0</v>
      </c>
      <c r="G66" s="85">
        <f t="shared" si="1"/>
        <v>104</v>
      </c>
      <c r="H66" s="193">
        <v>4</v>
      </c>
      <c r="I66" s="147">
        <f t="shared" si="5"/>
        <v>416</v>
      </c>
      <c r="J66" s="335"/>
    </row>
    <row r="67" spans="1:10" ht="49.5" x14ac:dyDescent="0.3">
      <c r="A67" s="190">
        <v>56</v>
      </c>
      <c r="B67" s="191" t="s">
        <v>119</v>
      </c>
      <c r="C67" s="250" t="str">
        <f>+'PAA OCI  '!B77</f>
        <v>Auditoría Financiera y de Gestión PAD 2024 Vigencia 2023</v>
      </c>
      <c r="D67" s="193">
        <v>16</v>
      </c>
      <c r="E67" s="193">
        <v>40</v>
      </c>
      <c r="F67" s="193">
        <v>3</v>
      </c>
      <c r="G67" s="85">
        <f t="shared" si="1"/>
        <v>59</v>
      </c>
      <c r="H67" s="193">
        <v>1</v>
      </c>
      <c r="I67" s="147">
        <f t="shared" si="5"/>
        <v>59</v>
      </c>
      <c r="J67" s="335"/>
    </row>
    <row r="68" spans="1:10" ht="99" x14ac:dyDescent="0.3">
      <c r="A68" s="190">
        <v>57</v>
      </c>
      <c r="B68" s="191" t="s">
        <v>119</v>
      </c>
      <c r="C68" s="250" t="str">
        <f>+'PAA OCI  '!B78</f>
        <v>Auditoría de Control Fiscal en Modalidad de Actuación Especial de Fiscalización - San Victorino y Fondo de Cargas 2019 - 2023</v>
      </c>
      <c r="D68" s="193">
        <v>16</v>
      </c>
      <c r="E68" s="193">
        <v>40</v>
      </c>
      <c r="F68" s="193">
        <v>3</v>
      </c>
      <c r="G68" s="85">
        <f t="shared" si="1"/>
        <v>59</v>
      </c>
      <c r="H68" s="193">
        <v>1</v>
      </c>
      <c r="I68" s="147">
        <f t="shared" si="5"/>
        <v>59</v>
      </c>
      <c r="J68" s="335"/>
    </row>
    <row r="69" spans="1:10" x14ac:dyDescent="0.3">
      <c r="A69" s="190">
        <v>58</v>
      </c>
      <c r="B69" s="191" t="s">
        <v>119</v>
      </c>
      <c r="C69" s="250" t="e">
        <f>+'PAA OCI  '!#REF!</f>
        <v>#REF!</v>
      </c>
      <c r="D69" s="193">
        <v>16</v>
      </c>
      <c r="E69" s="193">
        <v>40</v>
      </c>
      <c r="F69" s="193">
        <v>3</v>
      </c>
      <c r="G69" s="85">
        <f t="shared" si="1"/>
        <v>59</v>
      </c>
      <c r="H69" s="193">
        <v>1</v>
      </c>
      <c r="I69" s="147">
        <f t="shared" si="5"/>
        <v>59</v>
      </c>
      <c r="J69" s="335"/>
    </row>
    <row r="70" spans="1:10" ht="33" x14ac:dyDescent="0.3">
      <c r="A70" s="190">
        <v>59</v>
      </c>
      <c r="B70" s="191" t="s">
        <v>119</v>
      </c>
      <c r="C70" s="250" t="str">
        <f>+'PAA OCI  '!B81</f>
        <v>Visitas Administrativas Entes de Control ( a demanda)</v>
      </c>
      <c r="D70" s="334">
        <v>2</v>
      </c>
      <c r="E70" s="334">
        <v>8</v>
      </c>
      <c r="F70" s="334">
        <v>2</v>
      </c>
      <c r="G70" s="85">
        <f t="shared" si="1"/>
        <v>12</v>
      </c>
      <c r="H70" s="334">
        <v>5</v>
      </c>
      <c r="I70" s="147">
        <f t="shared" si="5"/>
        <v>60</v>
      </c>
      <c r="J70" s="335"/>
    </row>
    <row r="71" spans="1:10" ht="33" x14ac:dyDescent="0.3">
      <c r="A71" s="190">
        <v>60</v>
      </c>
      <c r="B71" s="191" t="s">
        <v>119</v>
      </c>
      <c r="C71" s="250" t="str">
        <f>+'PAA OCI  '!B82</f>
        <v>Seguimiento Plan de Mejoramiento Contraloría</v>
      </c>
      <c r="D71" s="193">
        <v>16</v>
      </c>
      <c r="E71" s="193">
        <v>40</v>
      </c>
      <c r="F71" s="334">
        <v>16</v>
      </c>
      <c r="G71" s="85">
        <f>SUM(D71:F71)</f>
        <v>72</v>
      </c>
      <c r="H71" s="193">
        <v>2</v>
      </c>
      <c r="I71" s="259">
        <f>+G71*H71</f>
        <v>144</v>
      </c>
      <c r="J71" s="335"/>
    </row>
    <row r="72" spans="1:10" x14ac:dyDescent="0.3">
      <c r="A72" s="190">
        <v>61</v>
      </c>
      <c r="B72" s="191" t="s">
        <v>119</v>
      </c>
      <c r="C72" s="250" t="e">
        <f>+'PAA OCI  '!#REF!</f>
        <v>#REF!</v>
      </c>
      <c r="D72" s="334">
        <v>2</v>
      </c>
      <c r="E72" s="334">
        <v>8</v>
      </c>
      <c r="F72" s="334">
        <v>2</v>
      </c>
      <c r="G72" s="85">
        <f t="shared" si="1"/>
        <v>12</v>
      </c>
      <c r="H72" s="334">
        <v>15</v>
      </c>
      <c r="I72" s="147">
        <f t="shared" ref="I72:I103" si="7">+G72*H72</f>
        <v>180</v>
      </c>
      <c r="J72" s="335"/>
    </row>
    <row r="73" spans="1:10" ht="33" x14ac:dyDescent="0.3">
      <c r="A73" s="190">
        <v>62</v>
      </c>
      <c r="B73" s="191" t="s">
        <v>118</v>
      </c>
      <c r="C73" s="248" t="str">
        <f>+'PAA OCI  '!B83</f>
        <v>Trasmisión Cuenta Mensual Contraloría</v>
      </c>
      <c r="D73" s="193">
        <v>1</v>
      </c>
      <c r="E73" s="193">
        <v>1</v>
      </c>
      <c r="F73" s="193">
        <v>0</v>
      </c>
      <c r="G73" s="85">
        <f t="shared" si="1"/>
        <v>2</v>
      </c>
      <c r="H73" s="193">
        <v>12</v>
      </c>
      <c r="I73" s="147">
        <f t="shared" si="7"/>
        <v>24</v>
      </c>
      <c r="J73" s="335"/>
    </row>
    <row r="74" spans="1:10" ht="49.5" x14ac:dyDescent="0.3">
      <c r="A74" s="190">
        <v>63</v>
      </c>
      <c r="B74" s="191" t="s">
        <v>118</v>
      </c>
      <c r="C74" s="248" t="str">
        <f>+'PAA OCI  '!B84</f>
        <v>Asesoría, acompañamiento  y Trasmisión Cuenta Anual Contraloría</v>
      </c>
      <c r="D74" s="193">
        <v>4</v>
      </c>
      <c r="E74" s="193">
        <v>24</v>
      </c>
      <c r="F74" s="193">
        <v>0</v>
      </c>
      <c r="G74" s="85">
        <f t="shared" si="1"/>
        <v>28</v>
      </c>
      <c r="H74" s="193">
        <v>1</v>
      </c>
      <c r="I74" s="147">
        <f t="shared" si="7"/>
        <v>28</v>
      </c>
      <c r="J74" s="335"/>
    </row>
    <row r="75" spans="1:10" ht="66" x14ac:dyDescent="0.3">
      <c r="A75" s="190">
        <v>64</v>
      </c>
      <c r="B75" s="191" t="s">
        <v>246</v>
      </c>
      <c r="C75" s="249" t="str">
        <f>+'PAA OCI  '!B85</f>
        <v>Reparto, seguimiento, revisión y registro de respuestas a Entes Externos de Control</v>
      </c>
      <c r="D75" s="193">
        <v>1</v>
      </c>
      <c r="E75" s="193">
        <v>2</v>
      </c>
      <c r="F75" s="334">
        <v>1</v>
      </c>
      <c r="G75" s="85">
        <f t="shared" si="1"/>
        <v>4</v>
      </c>
      <c r="H75" s="193">
        <v>785</v>
      </c>
      <c r="I75" s="147">
        <f t="shared" si="7"/>
        <v>3140</v>
      </c>
      <c r="J75" s="335"/>
    </row>
    <row r="76" spans="1:10" x14ac:dyDescent="0.3">
      <c r="A76" s="190">
        <v>65</v>
      </c>
      <c r="B76" s="191" t="s">
        <v>246</v>
      </c>
      <c r="C76" s="249" t="e">
        <f>+'PAA OCI  '!#REF!</f>
        <v>#REF!</v>
      </c>
      <c r="D76" s="334">
        <v>16</v>
      </c>
      <c r="E76" s="334">
        <v>40</v>
      </c>
      <c r="F76" s="334">
        <v>3</v>
      </c>
      <c r="G76" s="85">
        <f t="shared" ref="G76" si="8">SUM(D76:F76)</f>
        <v>59</v>
      </c>
      <c r="H76" s="334">
        <v>1</v>
      </c>
      <c r="I76" s="147">
        <f t="shared" ref="I76" si="9">+G76*H76</f>
        <v>59</v>
      </c>
      <c r="J76" s="335"/>
    </row>
    <row r="77" spans="1:10" x14ac:dyDescent="0.3">
      <c r="A77" s="190">
        <v>66</v>
      </c>
      <c r="B77" s="191" t="s">
        <v>246</v>
      </c>
      <c r="C77" s="249" t="e">
        <f>+'PAA OCI  '!#REF!</f>
        <v>#REF!</v>
      </c>
      <c r="D77" s="334">
        <v>16</v>
      </c>
      <c r="E77" s="334">
        <v>40</v>
      </c>
      <c r="F77" s="334">
        <v>3</v>
      </c>
      <c r="G77" s="85">
        <f t="shared" ref="G77:G78" si="10">SUM(D77:F77)</f>
        <v>59</v>
      </c>
      <c r="H77" s="334">
        <v>1</v>
      </c>
      <c r="I77" s="147">
        <f t="shared" ref="I77:I78" si="11">+G77*H77</f>
        <v>59</v>
      </c>
      <c r="J77" s="335"/>
    </row>
    <row r="78" spans="1:10" ht="49.5" x14ac:dyDescent="0.3">
      <c r="A78" s="190">
        <v>67</v>
      </c>
      <c r="B78" s="191" t="s">
        <v>246</v>
      </c>
      <c r="C78" s="249" t="str">
        <f>+'PAA OCI  '!B79</f>
        <v>Auditoría DRI - Actuación Especial Fiscalización - Contrato 430 de 2023</v>
      </c>
      <c r="D78" s="334">
        <v>16</v>
      </c>
      <c r="E78" s="334">
        <v>40</v>
      </c>
      <c r="F78" s="334">
        <v>3</v>
      </c>
      <c r="G78" s="85">
        <f t="shared" si="10"/>
        <v>59</v>
      </c>
      <c r="H78" s="334">
        <v>1</v>
      </c>
      <c r="I78" s="147">
        <f t="shared" si="11"/>
        <v>59</v>
      </c>
      <c r="J78" s="335"/>
    </row>
    <row r="79" spans="1:10" x14ac:dyDescent="0.3">
      <c r="A79" s="190">
        <v>68</v>
      </c>
      <c r="B79" s="191"/>
      <c r="C79" s="193"/>
      <c r="D79" s="193"/>
      <c r="E79" s="193"/>
      <c r="F79" s="193"/>
      <c r="G79" s="85">
        <f t="shared" si="1"/>
        <v>0</v>
      </c>
      <c r="H79" s="193"/>
      <c r="I79" s="147">
        <f t="shared" si="7"/>
        <v>0</v>
      </c>
      <c r="J79" s="335"/>
    </row>
    <row r="80" spans="1:10" x14ac:dyDescent="0.3">
      <c r="A80" s="190">
        <v>69</v>
      </c>
      <c r="B80" s="191"/>
      <c r="C80" s="193"/>
      <c r="D80" s="193"/>
      <c r="E80" s="193"/>
      <c r="F80" s="193"/>
      <c r="G80" s="85">
        <f t="shared" si="1"/>
        <v>0</v>
      </c>
      <c r="H80" s="193"/>
      <c r="I80" s="147">
        <f t="shared" si="7"/>
        <v>0</v>
      </c>
      <c r="J80" s="335"/>
    </row>
    <row r="81" spans="1:10" x14ac:dyDescent="0.3">
      <c r="A81" s="190">
        <v>70</v>
      </c>
      <c r="B81" s="191"/>
      <c r="C81" s="193"/>
      <c r="D81" s="193"/>
      <c r="E81" s="193"/>
      <c r="F81" s="193"/>
      <c r="G81" s="85">
        <f t="shared" si="1"/>
        <v>0</v>
      </c>
      <c r="H81" s="193"/>
      <c r="I81" s="147">
        <f t="shared" si="7"/>
        <v>0</v>
      </c>
      <c r="J81" s="335"/>
    </row>
    <row r="82" spans="1:10" x14ac:dyDescent="0.3">
      <c r="A82" s="190">
        <v>71</v>
      </c>
      <c r="B82" s="191"/>
      <c r="C82" s="193"/>
      <c r="D82" s="193"/>
      <c r="E82" s="193"/>
      <c r="F82" s="193"/>
      <c r="G82" s="85">
        <f t="shared" si="1"/>
        <v>0</v>
      </c>
      <c r="H82" s="193"/>
      <c r="I82" s="147">
        <f t="shared" si="7"/>
        <v>0</v>
      </c>
      <c r="J82" s="335"/>
    </row>
    <row r="83" spans="1:10" x14ac:dyDescent="0.3">
      <c r="A83" s="190">
        <v>72</v>
      </c>
      <c r="B83" s="191"/>
      <c r="C83" s="192"/>
      <c r="D83" s="193"/>
      <c r="E83" s="193"/>
      <c r="F83" s="193"/>
      <c r="G83" s="85">
        <f t="shared" si="1"/>
        <v>0</v>
      </c>
      <c r="H83" s="193"/>
      <c r="I83" s="147">
        <f t="shared" si="7"/>
        <v>0</v>
      </c>
      <c r="J83" s="335"/>
    </row>
    <row r="84" spans="1:10" x14ac:dyDescent="0.3">
      <c r="A84" s="190">
        <v>73</v>
      </c>
      <c r="B84" s="191"/>
      <c r="C84" s="192"/>
      <c r="D84" s="193"/>
      <c r="E84" s="193"/>
      <c r="F84" s="193"/>
      <c r="G84" s="85">
        <f t="shared" si="1"/>
        <v>0</v>
      </c>
      <c r="H84" s="193"/>
      <c r="I84" s="147">
        <f t="shared" si="7"/>
        <v>0</v>
      </c>
      <c r="J84" s="335"/>
    </row>
    <row r="85" spans="1:10" x14ac:dyDescent="0.3">
      <c r="A85" s="190">
        <v>74</v>
      </c>
      <c r="B85" s="191"/>
      <c r="C85" s="192"/>
      <c r="D85" s="193"/>
      <c r="E85" s="193"/>
      <c r="F85" s="193"/>
      <c r="G85" s="85">
        <f t="shared" si="1"/>
        <v>0</v>
      </c>
      <c r="H85" s="193"/>
      <c r="I85" s="147">
        <f t="shared" si="7"/>
        <v>0</v>
      </c>
      <c r="J85" s="335"/>
    </row>
    <row r="86" spans="1:10" x14ac:dyDescent="0.3">
      <c r="A86" s="190">
        <v>75</v>
      </c>
      <c r="B86" s="191"/>
      <c r="C86" s="192"/>
      <c r="D86" s="193"/>
      <c r="E86" s="193"/>
      <c r="F86" s="193"/>
      <c r="G86" s="85">
        <f t="shared" si="1"/>
        <v>0</v>
      </c>
      <c r="H86" s="193"/>
      <c r="I86" s="147">
        <f t="shared" si="7"/>
        <v>0</v>
      </c>
      <c r="J86" s="335"/>
    </row>
    <row r="87" spans="1:10" x14ac:dyDescent="0.3">
      <c r="A87" s="190">
        <v>76</v>
      </c>
      <c r="B87" s="191"/>
      <c r="C87" s="192"/>
      <c r="D87" s="193"/>
      <c r="E87" s="193"/>
      <c r="F87" s="193"/>
      <c r="G87" s="85">
        <f t="shared" ref="G87:G99" si="12">SUM(D87:F87)</f>
        <v>0</v>
      </c>
      <c r="H87" s="193"/>
      <c r="I87" s="147">
        <f t="shared" si="7"/>
        <v>0</v>
      </c>
      <c r="J87" s="335"/>
    </row>
    <row r="88" spans="1:10" x14ac:dyDescent="0.3">
      <c r="A88" s="190">
        <v>77</v>
      </c>
      <c r="B88" s="191"/>
      <c r="C88" s="192"/>
      <c r="D88" s="193"/>
      <c r="E88" s="193"/>
      <c r="F88" s="193"/>
      <c r="G88" s="85">
        <f t="shared" si="12"/>
        <v>0</v>
      </c>
      <c r="H88" s="193"/>
      <c r="I88" s="147">
        <f t="shared" si="7"/>
        <v>0</v>
      </c>
      <c r="J88" s="335"/>
    </row>
    <row r="89" spans="1:10" x14ac:dyDescent="0.3">
      <c r="A89" s="190">
        <v>78</v>
      </c>
      <c r="B89" s="191"/>
      <c r="C89" s="192"/>
      <c r="D89" s="193"/>
      <c r="E89" s="193"/>
      <c r="F89" s="193"/>
      <c r="G89" s="85">
        <f t="shared" si="12"/>
        <v>0</v>
      </c>
      <c r="H89" s="193"/>
      <c r="I89" s="147">
        <f t="shared" si="7"/>
        <v>0</v>
      </c>
      <c r="J89" s="335"/>
    </row>
    <row r="90" spans="1:10" x14ac:dyDescent="0.3">
      <c r="A90" s="190">
        <v>79</v>
      </c>
      <c r="B90" s="191"/>
      <c r="C90" s="192"/>
      <c r="D90" s="193"/>
      <c r="E90" s="193"/>
      <c r="F90" s="193"/>
      <c r="G90" s="85">
        <f t="shared" si="12"/>
        <v>0</v>
      </c>
      <c r="H90" s="193"/>
      <c r="I90" s="147">
        <f t="shared" si="7"/>
        <v>0</v>
      </c>
      <c r="J90" s="335"/>
    </row>
    <row r="91" spans="1:10" x14ac:dyDescent="0.3">
      <c r="A91" s="190">
        <v>80</v>
      </c>
      <c r="B91" s="191"/>
      <c r="C91" s="192"/>
      <c r="D91" s="193"/>
      <c r="E91" s="193"/>
      <c r="F91" s="193"/>
      <c r="G91" s="85">
        <f t="shared" si="12"/>
        <v>0</v>
      </c>
      <c r="H91" s="193"/>
      <c r="I91" s="147">
        <f t="shared" si="7"/>
        <v>0</v>
      </c>
      <c r="J91" s="335"/>
    </row>
    <row r="92" spans="1:10" x14ac:dyDescent="0.3">
      <c r="A92" s="190">
        <v>81</v>
      </c>
      <c r="B92" s="191"/>
      <c r="C92" s="192"/>
      <c r="D92" s="193"/>
      <c r="E92" s="193"/>
      <c r="F92" s="193"/>
      <c r="G92" s="85">
        <f t="shared" si="12"/>
        <v>0</v>
      </c>
      <c r="H92" s="193"/>
      <c r="I92" s="147">
        <f t="shared" si="7"/>
        <v>0</v>
      </c>
      <c r="J92" s="335"/>
    </row>
    <row r="93" spans="1:10" x14ac:dyDescent="0.3">
      <c r="A93" s="190">
        <v>82</v>
      </c>
      <c r="B93" s="191"/>
      <c r="C93" s="192"/>
      <c r="D93" s="193"/>
      <c r="E93" s="193"/>
      <c r="F93" s="193"/>
      <c r="G93" s="85">
        <f t="shared" si="12"/>
        <v>0</v>
      </c>
      <c r="H93" s="193"/>
      <c r="I93" s="147">
        <f t="shared" si="7"/>
        <v>0</v>
      </c>
      <c r="J93" s="335"/>
    </row>
    <row r="94" spans="1:10" x14ac:dyDescent="0.3">
      <c r="A94" s="190">
        <v>83</v>
      </c>
      <c r="B94" s="191"/>
      <c r="C94" s="192"/>
      <c r="D94" s="193"/>
      <c r="E94" s="193"/>
      <c r="F94" s="193"/>
      <c r="G94" s="85">
        <f t="shared" si="12"/>
        <v>0</v>
      </c>
      <c r="H94" s="193"/>
      <c r="I94" s="147">
        <f t="shared" si="7"/>
        <v>0</v>
      </c>
      <c r="J94" s="335"/>
    </row>
    <row r="95" spans="1:10" x14ac:dyDescent="0.3">
      <c r="A95" s="190">
        <v>84</v>
      </c>
      <c r="B95" s="191"/>
      <c r="C95" s="192"/>
      <c r="D95" s="193"/>
      <c r="E95" s="193"/>
      <c r="F95" s="193"/>
      <c r="G95" s="85">
        <f t="shared" si="12"/>
        <v>0</v>
      </c>
      <c r="H95" s="193"/>
      <c r="I95" s="147">
        <f t="shared" si="7"/>
        <v>0</v>
      </c>
      <c r="J95" s="335"/>
    </row>
    <row r="96" spans="1:10" x14ac:dyDescent="0.3">
      <c r="A96" s="190">
        <v>85</v>
      </c>
      <c r="B96" s="191"/>
      <c r="C96" s="192"/>
      <c r="D96" s="193"/>
      <c r="E96" s="193"/>
      <c r="F96" s="193"/>
      <c r="G96" s="85">
        <f t="shared" si="12"/>
        <v>0</v>
      </c>
      <c r="H96" s="193"/>
      <c r="I96" s="147">
        <f t="shared" si="7"/>
        <v>0</v>
      </c>
      <c r="J96" s="335"/>
    </row>
    <row r="97" spans="1:11" x14ac:dyDescent="0.3">
      <c r="A97" s="190">
        <v>86</v>
      </c>
      <c r="B97" s="191"/>
      <c r="C97" s="192"/>
      <c r="D97" s="193"/>
      <c r="E97" s="193"/>
      <c r="F97" s="193"/>
      <c r="G97" s="85">
        <f t="shared" si="12"/>
        <v>0</v>
      </c>
      <c r="H97" s="193"/>
      <c r="I97" s="147">
        <f t="shared" si="7"/>
        <v>0</v>
      </c>
      <c r="J97" s="335"/>
    </row>
    <row r="98" spans="1:11" x14ac:dyDescent="0.3">
      <c r="A98" s="190">
        <v>87</v>
      </c>
      <c r="B98" s="191"/>
      <c r="C98" s="192"/>
      <c r="D98" s="193"/>
      <c r="E98" s="193"/>
      <c r="F98" s="193"/>
      <c r="G98" s="85">
        <f t="shared" si="12"/>
        <v>0</v>
      </c>
      <c r="H98" s="193"/>
      <c r="I98" s="147">
        <f t="shared" si="7"/>
        <v>0</v>
      </c>
      <c r="J98" s="335"/>
    </row>
    <row r="99" spans="1:11" x14ac:dyDescent="0.3">
      <c r="A99" s="190">
        <v>88</v>
      </c>
      <c r="B99" s="191"/>
      <c r="C99" s="192"/>
      <c r="D99" s="193"/>
      <c r="E99" s="193"/>
      <c r="F99" s="193"/>
      <c r="G99" s="85">
        <f t="shared" si="12"/>
        <v>0</v>
      </c>
      <c r="H99" s="193"/>
      <c r="I99" s="147">
        <f t="shared" si="7"/>
        <v>0</v>
      </c>
      <c r="J99" s="335"/>
    </row>
    <row r="100" spans="1:11" x14ac:dyDescent="0.3">
      <c r="A100" s="190">
        <v>89</v>
      </c>
      <c r="B100" s="191"/>
      <c r="C100" s="192"/>
      <c r="D100" s="193"/>
      <c r="E100" s="193"/>
      <c r="F100" s="193"/>
      <c r="G100" s="85">
        <f t="shared" ref="G100:G107" si="13">SUM(D100:F100)</f>
        <v>0</v>
      </c>
      <c r="H100" s="193"/>
      <c r="I100" s="147">
        <f t="shared" si="7"/>
        <v>0</v>
      </c>
      <c r="J100" s="335"/>
    </row>
    <row r="101" spans="1:11" x14ac:dyDescent="0.3">
      <c r="A101" s="190">
        <v>90</v>
      </c>
      <c r="B101" s="191"/>
      <c r="C101" s="192"/>
      <c r="D101" s="193"/>
      <c r="E101" s="193"/>
      <c r="F101" s="193"/>
      <c r="G101" s="85">
        <f t="shared" si="13"/>
        <v>0</v>
      </c>
      <c r="H101" s="193"/>
      <c r="I101" s="147">
        <f t="shared" si="7"/>
        <v>0</v>
      </c>
      <c r="J101" s="335"/>
    </row>
    <row r="102" spans="1:11" x14ac:dyDescent="0.3">
      <c r="A102" s="190">
        <v>91</v>
      </c>
      <c r="B102" s="191"/>
      <c r="C102" s="192"/>
      <c r="D102" s="193"/>
      <c r="E102" s="193"/>
      <c r="F102" s="193"/>
      <c r="G102" s="85">
        <f t="shared" si="13"/>
        <v>0</v>
      </c>
      <c r="H102" s="193"/>
      <c r="I102" s="147">
        <f t="shared" si="7"/>
        <v>0</v>
      </c>
      <c r="J102" s="335"/>
    </row>
    <row r="103" spans="1:11" x14ac:dyDescent="0.3">
      <c r="A103" s="190">
        <v>92</v>
      </c>
      <c r="B103" s="191"/>
      <c r="C103" s="192"/>
      <c r="D103" s="193"/>
      <c r="E103" s="193"/>
      <c r="F103" s="193"/>
      <c r="G103" s="85">
        <f t="shared" si="13"/>
        <v>0</v>
      </c>
      <c r="H103" s="193"/>
      <c r="I103" s="147">
        <f t="shared" si="7"/>
        <v>0</v>
      </c>
      <c r="J103" s="335"/>
    </row>
    <row r="104" spans="1:11" x14ac:dyDescent="0.3">
      <c r="A104" s="190">
        <v>93</v>
      </c>
      <c r="B104" s="191"/>
      <c r="C104" s="192"/>
      <c r="D104" s="193"/>
      <c r="E104" s="193"/>
      <c r="F104" s="193"/>
      <c r="G104" s="85">
        <f t="shared" si="13"/>
        <v>0</v>
      </c>
      <c r="H104" s="193"/>
      <c r="I104" s="147">
        <f>+G104*H104</f>
        <v>0</v>
      </c>
      <c r="J104" s="335"/>
    </row>
    <row r="105" spans="1:11" x14ac:dyDescent="0.3">
      <c r="A105" s="190">
        <v>94</v>
      </c>
      <c r="B105" s="191"/>
      <c r="C105" s="192"/>
      <c r="D105" s="193"/>
      <c r="E105" s="193"/>
      <c r="F105" s="193"/>
      <c r="G105" s="85">
        <f t="shared" si="13"/>
        <v>0</v>
      </c>
      <c r="H105" s="193"/>
      <c r="I105" s="147">
        <f>+G105*H105</f>
        <v>0</v>
      </c>
      <c r="J105" s="335"/>
    </row>
    <row r="106" spans="1:11" x14ac:dyDescent="0.3">
      <c r="A106" s="190">
        <v>95</v>
      </c>
      <c r="B106" s="191"/>
      <c r="C106" s="192"/>
      <c r="D106" s="193"/>
      <c r="E106" s="193"/>
      <c r="F106" s="193"/>
      <c r="G106" s="85">
        <f t="shared" si="13"/>
        <v>0</v>
      </c>
      <c r="H106" s="193"/>
      <c r="I106" s="147">
        <f>+G106*H106</f>
        <v>0</v>
      </c>
      <c r="J106" s="335"/>
    </row>
    <row r="107" spans="1:11" x14ac:dyDescent="0.3">
      <c r="A107" s="190">
        <v>96</v>
      </c>
      <c r="B107" s="191"/>
      <c r="C107" s="192"/>
      <c r="D107" s="193"/>
      <c r="E107" s="193"/>
      <c r="F107" s="193"/>
      <c r="G107" s="85">
        <f t="shared" si="13"/>
        <v>0</v>
      </c>
      <c r="H107" s="193"/>
      <c r="I107" s="147">
        <f>+G107*H107</f>
        <v>0</v>
      </c>
      <c r="J107" s="335"/>
    </row>
    <row r="108" spans="1:11" ht="17.25" thickBot="1" x14ac:dyDescent="0.35">
      <c r="A108" s="190">
        <v>97</v>
      </c>
      <c r="B108" s="99"/>
      <c r="C108" s="99"/>
      <c r="D108" s="100"/>
      <c r="E108" s="100"/>
      <c r="F108" s="101" t="s">
        <v>222</v>
      </c>
      <c r="G108" s="101">
        <f>SUBTOTAL(109,G12:G107)</f>
        <v>11780</v>
      </c>
      <c r="H108" s="101">
        <f>SUBTOTAL(109,H12:H107)</f>
        <v>957</v>
      </c>
      <c r="I108" s="101">
        <f>SUBTOTAL(109,I12:I107)</f>
        <v>18369</v>
      </c>
      <c r="J108" s="335"/>
    </row>
    <row r="109" spans="1:11" x14ac:dyDescent="0.3">
      <c r="A109" s="328"/>
      <c r="B109" s="329"/>
      <c r="C109" s="329"/>
      <c r="D109" s="330"/>
      <c r="E109" s="330"/>
      <c r="F109" s="330"/>
      <c r="G109" s="331"/>
      <c r="H109" s="330"/>
      <c r="I109" s="332"/>
      <c r="J109" s="330"/>
    </row>
    <row r="110" spans="1:11" x14ac:dyDescent="0.3">
      <c r="K110" s="91"/>
    </row>
    <row r="111" spans="1:11" x14ac:dyDescent="0.3">
      <c r="K111" s="91"/>
    </row>
    <row r="112" spans="1:11" x14ac:dyDescent="0.3">
      <c r="A112" s="149" t="s">
        <v>244</v>
      </c>
      <c r="K112" s="91"/>
    </row>
    <row r="113" spans="1:11" x14ac:dyDescent="0.3">
      <c r="A113" s="149"/>
      <c r="K113" s="91"/>
    </row>
    <row r="114" spans="1:11" x14ac:dyDescent="0.3">
      <c r="A114" s="312" t="s">
        <v>248</v>
      </c>
      <c r="B114" s="25" t="s">
        <v>251</v>
      </c>
      <c r="C114" s="25" t="s">
        <v>250</v>
      </c>
      <c r="D114"/>
      <c r="E114"/>
      <c r="F114"/>
      <c r="G114"/>
      <c r="H114"/>
      <c r="I114"/>
      <c r="J114"/>
      <c r="K114"/>
    </row>
    <row r="115" spans="1:11" x14ac:dyDescent="0.3">
      <c r="A115" s="313" t="s">
        <v>120</v>
      </c>
      <c r="B115" s="25">
        <v>4864</v>
      </c>
      <c r="C115" s="25">
        <v>15</v>
      </c>
      <c r="D115"/>
      <c r="E115"/>
      <c r="F115"/>
      <c r="G115"/>
      <c r="H115"/>
      <c r="I115"/>
      <c r="J115"/>
      <c r="K115"/>
    </row>
    <row r="116" spans="1:11" x14ac:dyDescent="0.3">
      <c r="A116" s="313" t="s">
        <v>118</v>
      </c>
      <c r="B116" s="25">
        <v>2758</v>
      </c>
      <c r="C116" s="25">
        <v>35</v>
      </c>
      <c r="D116"/>
      <c r="E116"/>
      <c r="F116"/>
      <c r="G116"/>
      <c r="H116"/>
      <c r="I116"/>
      <c r="J116"/>
      <c r="K116"/>
    </row>
    <row r="117" spans="1:11" x14ac:dyDescent="0.3">
      <c r="A117" s="313" t="s">
        <v>119</v>
      </c>
      <c r="B117" s="25">
        <v>336</v>
      </c>
      <c r="C117" s="25">
        <v>7</v>
      </c>
      <c r="D117"/>
      <c r="E117"/>
      <c r="F117"/>
      <c r="G117"/>
      <c r="H117"/>
      <c r="I117"/>
      <c r="J117"/>
      <c r="K117"/>
    </row>
    <row r="118" spans="1:11" x14ac:dyDescent="0.3">
      <c r="A118" s="313" t="s">
        <v>249</v>
      </c>
      <c r="B118" s="25">
        <v>7958</v>
      </c>
      <c r="C118" s="25">
        <v>57</v>
      </c>
      <c r="D118"/>
      <c r="E118"/>
      <c r="F118"/>
      <c r="G118"/>
      <c r="H118"/>
      <c r="I118"/>
      <c r="J118"/>
      <c r="K118"/>
    </row>
    <row r="119" spans="1:11" x14ac:dyDescent="0.3">
      <c r="A119"/>
      <c r="B119"/>
      <c r="C119"/>
      <c r="D119"/>
      <c r="E119"/>
      <c r="F119"/>
      <c r="G119"/>
      <c r="H119"/>
      <c r="I119"/>
      <c r="J119"/>
      <c r="K119"/>
    </row>
    <row r="120" spans="1:11" x14ac:dyDescent="0.3">
      <c r="A120"/>
      <c r="B120"/>
      <c r="C120"/>
      <c r="D120"/>
      <c r="E120"/>
      <c r="F120"/>
      <c r="G120"/>
      <c r="H120"/>
      <c r="I120"/>
      <c r="J120"/>
      <c r="K120"/>
    </row>
    <row r="121" spans="1:11" x14ac:dyDescent="0.3">
      <c r="A121"/>
      <c r="B121"/>
      <c r="C121"/>
    </row>
    <row r="122" spans="1:11" x14ac:dyDescent="0.3">
      <c r="A122"/>
      <c r="B122"/>
      <c r="C122"/>
    </row>
    <row r="123" spans="1:11" x14ac:dyDescent="0.3">
      <c r="A123"/>
      <c r="B123"/>
      <c r="C123"/>
    </row>
    <row r="124" spans="1:11" x14ac:dyDescent="0.3">
      <c r="A124"/>
      <c r="B124"/>
      <c r="C124"/>
    </row>
    <row r="125" spans="1:11" x14ac:dyDescent="0.3">
      <c r="A125"/>
      <c r="B125"/>
      <c r="C125"/>
    </row>
    <row r="126" spans="1:11" x14ac:dyDescent="0.3">
      <c r="A126"/>
      <c r="B126"/>
      <c r="C126"/>
    </row>
    <row r="127" spans="1:11" x14ac:dyDescent="0.3">
      <c r="A127"/>
      <c r="B127"/>
      <c r="C127"/>
    </row>
    <row r="128" spans="1:11" x14ac:dyDescent="0.3">
      <c r="A128"/>
      <c r="B128"/>
      <c r="C128"/>
    </row>
    <row r="129" spans="1:3" x14ac:dyDescent="0.3">
      <c r="A129"/>
      <c r="B129"/>
      <c r="C129"/>
    </row>
    <row r="130" spans="1:3" x14ac:dyDescent="0.3">
      <c r="A130"/>
      <c r="B130"/>
      <c r="C130"/>
    </row>
    <row r="131" spans="1:3" x14ac:dyDescent="0.3">
      <c r="A131"/>
      <c r="B131"/>
      <c r="C131"/>
    </row>
    <row r="132" spans="1:3" x14ac:dyDescent="0.3">
      <c r="A132"/>
      <c r="B132"/>
      <c r="C132"/>
    </row>
    <row r="133" spans="1:3" x14ac:dyDescent="0.3">
      <c r="A133"/>
      <c r="B133"/>
      <c r="C133"/>
    </row>
    <row r="134" spans="1:3" x14ac:dyDescent="0.3">
      <c r="A134"/>
      <c r="B134"/>
      <c r="C134"/>
    </row>
    <row r="135" spans="1:3" x14ac:dyDescent="0.3">
      <c r="A135"/>
      <c r="B135"/>
      <c r="C135"/>
    </row>
    <row r="136" spans="1:3" x14ac:dyDescent="0.3">
      <c r="A136"/>
      <c r="B136"/>
      <c r="C136"/>
    </row>
    <row r="137" spans="1:3" x14ac:dyDescent="0.3">
      <c r="A137"/>
      <c r="B137"/>
      <c r="C137"/>
    </row>
    <row r="138" spans="1:3" x14ac:dyDescent="0.3">
      <c r="A138"/>
      <c r="B138"/>
      <c r="C138"/>
    </row>
  </sheetData>
  <mergeCells count="3">
    <mergeCell ref="D10:F10"/>
    <mergeCell ref="B1:I1"/>
    <mergeCell ref="A8:I8"/>
  </mergeCells>
  <phoneticPr fontId="58" type="noConversion"/>
  <dataValidations disablePrompts="1" count="6">
    <dataValidation allowBlank="1" showInputMessage="1" showErrorMessage="1" prompt="Para el cálculo de las horas requeridas para el desarrollo del PAAI, liste todos los informes de ley que debe realizar la OCI, seguimientos y auditorias priorizadas" sqref="C11"/>
    <dataValidation allowBlank="1" showInputMessage="1" showErrorMessage="1" prompt="Registre para cada informe a realizar, las horas estimadas en cada fase o etapa (planeación, ejecucion y elaboracion del informe)" sqref="D11:F11"/>
    <dataValidation allowBlank="1" showInputMessage="1" showErrorMessage="1" prompt="Registre el numero de informes que se proyectan realizar en la vigencia según la periodicidad" sqref="H11"/>
    <dataValidation allowBlank="1" showInputMessage="1" showErrorMessage="1" prompt="En esta columna se determina el numero de horas requeridas para el desarrollo del PAAI" sqref="I11"/>
    <dataValidation allowBlank="1" showInputMessage="1" showErrorMessage="1" prompt="Identifique el tipo de trabajo de auditoría a realizar de acuerdo a la priorización realizada" sqref="B11"/>
    <dataValidation type="list" allowBlank="1" showInputMessage="1" showErrorMessage="1" sqref="B12:B107">
      <formula1>$N$12:$N$16</formula1>
    </dataValidation>
  </dataValidations>
  <hyperlinks>
    <hyperlink ref="A4" location="'1. Horas requeridas PAAI'!A9" display="1.CÁLCULO DE HORAS REQUERIDAS PARA EL PAA"/>
    <hyperlink ref="A5" location="'2. Días -horas hábiles x vig'!A1" display="2.CALCULO DIAS -HORAS LABORALES POR AÑO Y POR AUDITOR"/>
  </hyperlinks>
  <pageMargins left="0.7" right="0.7" top="0.75" bottom="0.75" header="0.3" footer="0.3"/>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1"/>
  <sheetViews>
    <sheetView workbookViewId="0">
      <selection activeCell="B59" sqref="B59"/>
    </sheetView>
  </sheetViews>
  <sheetFormatPr baseColWidth="10" defaultColWidth="11.42578125" defaultRowHeight="15" x14ac:dyDescent="0.25"/>
  <cols>
    <col min="1" max="2" width="11.42578125" style="15"/>
    <col min="3" max="3" width="16.85546875" style="15" customWidth="1"/>
    <col min="4" max="16384" width="11.42578125" style="15"/>
  </cols>
  <sheetData>
    <row r="4" spans="3:11" ht="15.75" thickBot="1" x14ac:dyDescent="0.3"/>
    <row r="5" spans="3:11" x14ac:dyDescent="0.25">
      <c r="C5" s="139" t="s">
        <v>235</v>
      </c>
      <c r="D5" s="140"/>
      <c r="E5" s="140"/>
      <c r="F5" s="140"/>
      <c r="G5" s="140"/>
      <c r="H5" s="140"/>
      <c r="I5" s="140"/>
      <c r="J5" s="140"/>
      <c r="K5" s="141"/>
    </row>
    <row r="6" spans="3:11" ht="32.25" customHeight="1" thickBot="1" x14ac:dyDescent="0.3">
      <c r="C6" s="158" t="s">
        <v>256</v>
      </c>
      <c r="D6" s="637" t="s">
        <v>260</v>
      </c>
      <c r="E6" s="637"/>
      <c r="F6" s="637"/>
      <c r="G6" s="637"/>
      <c r="H6" s="637"/>
      <c r="I6" s="637"/>
      <c r="J6" s="637"/>
      <c r="K6" s="638"/>
    </row>
    <row r="9" spans="3:11" ht="384" customHeight="1" x14ac:dyDescent="0.25">
      <c r="C9" s="581" t="s">
        <v>259</v>
      </c>
      <c r="D9" s="581"/>
      <c r="E9" s="581"/>
      <c r="F9" s="581"/>
      <c r="G9" s="581"/>
      <c r="H9" s="581"/>
      <c r="I9" s="581"/>
      <c r="J9" s="581"/>
      <c r="K9" s="581"/>
    </row>
    <row r="10" spans="3:11" ht="205.5" customHeight="1" x14ac:dyDescent="0.25">
      <c r="C10" s="581" t="s">
        <v>257</v>
      </c>
      <c r="D10" s="581"/>
      <c r="E10" s="581"/>
      <c r="F10" s="581"/>
      <c r="G10" s="581"/>
      <c r="H10" s="581"/>
      <c r="I10" s="581"/>
      <c r="J10" s="581"/>
      <c r="K10" s="581"/>
    </row>
    <row r="11" spans="3:11" ht="205.5" customHeight="1" thickBot="1" x14ac:dyDescent="0.3">
      <c r="C11" s="581" t="s">
        <v>258</v>
      </c>
      <c r="D11" s="581"/>
      <c r="E11" s="581"/>
      <c r="F11" s="581"/>
      <c r="G11" s="581"/>
      <c r="H11" s="581"/>
      <c r="I11" s="581"/>
      <c r="J11" s="581"/>
      <c r="K11" s="581"/>
    </row>
    <row r="12" spans="3:11" ht="39.75" customHeight="1" x14ac:dyDescent="0.25">
      <c r="C12" s="139" t="s">
        <v>235</v>
      </c>
      <c r="D12" s="140"/>
      <c r="E12" s="140"/>
      <c r="F12" s="140"/>
      <c r="G12" s="140"/>
      <c r="H12" s="140"/>
      <c r="I12" s="140"/>
      <c r="J12" s="140"/>
      <c r="K12" s="141"/>
    </row>
    <row r="13" spans="3:11" ht="15.75" thickBot="1" x14ac:dyDescent="0.3">
      <c r="C13" s="158" t="s">
        <v>261</v>
      </c>
      <c r="D13" s="637" t="s">
        <v>262</v>
      </c>
      <c r="E13" s="637"/>
      <c r="F13" s="637"/>
      <c r="G13" s="637"/>
      <c r="H13" s="637"/>
      <c r="I13" s="637"/>
      <c r="J13" s="637"/>
      <c r="K13" s="638"/>
    </row>
    <row r="16" spans="3:11" ht="184.5" customHeight="1" x14ac:dyDescent="0.25">
      <c r="C16" s="581" t="s">
        <v>263</v>
      </c>
      <c r="D16" s="581"/>
      <c r="E16" s="581"/>
      <c r="F16" s="581"/>
      <c r="G16" s="581"/>
      <c r="H16" s="581"/>
      <c r="I16" s="581"/>
      <c r="J16" s="581"/>
      <c r="K16" s="581"/>
    </row>
    <row r="17" spans="3:11" ht="320.25" customHeight="1" x14ac:dyDescent="0.25">
      <c r="C17" s="581" t="s">
        <v>264</v>
      </c>
      <c r="D17" s="581"/>
      <c r="E17" s="581"/>
      <c r="F17" s="581"/>
      <c r="G17" s="581"/>
      <c r="H17" s="581"/>
      <c r="I17" s="581"/>
      <c r="J17" s="581"/>
      <c r="K17" s="581"/>
    </row>
    <row r="18" spans="3:11" ht="242.25" customHeight="1" x14ac:dyDescent="0.25">
      <c r="C18" s="581" t="s">
        <v>265</v>
      </c>
      <c r="D18" s="581"/>
      <c r="E18" s="581"/>
      <c r="F18" s="581"/>
      <c r="G18" s="581"/>
      <c r="H18" s="581"/>
      <c r="I18" s="581"/>
      <c r="J18" s="581"/>
      <c r="K18" s="581"/>
    </row>
    <row r="19" spans="3:11" ht="252" customHeight="1" x14ac:dyDescent="0.25">
      <c r="C19" s="581" t="s">
        <v>266</v>
      </c>
      <c r="D19" s="581"/>
      <c r="E19" s="581"/>
      <c r="F19" s="581"/>
      <c r="G19" s="581"/>
      <c r="H19" s="581"/>
      <c r="I19" s="581"/>
      <c r="J19" s="581"/>
      <c r="K19" s="581"/>
    </row>
    <row r="20" spans="3:11" ht="161.25" customHeight="1" x14ac:dyDescent="0.25">
      <c r="C20" s="581" t="s">
        <v>267</v>
      </c>
      <c r="D20" s="581"/>
      <c r="E20" s="581"/>
      <c r="F20" s="581"/>
      <c r="G20" s="581"/>
      <c r="H20" s="581"/>
      <c r="I20" s="581"/>
      <c r="J20" s="581"/>
      <c r="K20" s="581"/>
    </row>
    <row r="21" spans="3:11" ht="16.5" x14ac:dyDescent="0.25">
      <c r="C21" s="639" t="s">
        <v>243</v>
      </c>
      <c r="D21" s="639"/>
      <c r="E21" s="639"/>
      <c r="F21" s="639"/>
      <c r="G21" s="639"/>
      <c r="H21" s="639"/>
      <c r="I21" s="639"/>
      <c r="J21" s="639"/>
      <c r="K21" s="639"/>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47" zoomScale="110" zoomScaleNormal="110" workbookViewId="0">
      <selection activeCell="C59" sqref="C59"/>
    </sheetView>
  </sheetViews>
  <sheetFormatPr baseColWidth="10" defaultColWidth="11.42578125" defaultRowHeight="11.25" x14ac:dyDescent="0.2"/>
  <cols>
    <col min="1" max="1" width="26.140625" style="103" customWidth="1"/>
    <col min="2" max="2" width="21.28515625" style="103" customWidth="1"/>
    <col min="3" max="3" width="11.42578125" style="103"/>
    <col min="4" max="4" width="13.140625" style="103" customWidth="1"/>
    <col min="5" max="5" width="21.5703125" style="103" customWidth="1"/>
    <col min="6" max="6" width="11.42578125" style="103"/>
    <col min="7" max="7" width="26.42578125" style="103" customWidth="1"/>
    <col min="8" max="8" width="27.5703125" style="103" customWidth="1"/>
    <col min="9" max="9" width="15.85546875" style="103" customWidth="1"/>
    <col min="10" max="10" width="23.85546875" style="103" customWidth="1"/>
    <col min="11" max="11" width="11.42578125" style="103"/>
    <col min="12" max="12" width="12.28515625" style="103" customWidth="1"/>
    <col min="13" max="15" width="11.42578125" style="103"/>
    <col min="16" max="16" width="18.42578125" style="103" customWidth="1"/>
    <col min="17" max="16384" width="11.42578125" style="103"/>
  </cols>
  <sheetData>
    <row r="1" spans="1:15" s="15" customFormat="1" ht="72" customHeight="1" x14ac:dyDescent="0.25">
      <c r="A1" s="54" t="s">
        <v>16</v>
      </c>
      <c r="B1" s="640" t="s">
        <v>241</v>
      </c>
      <c r="C1" s="640"/>
      <c r="D1" s="640"/>
      <c r="E1" s="640"/>
      <c r="F1" s="640"/>
      <c r="G1" s="640"/>
      <c r="H1" s="79"/>
      <c r="I1" s="115"/>
      <c r="J1" s="115"/>
      <c r="K1" s="115"/>
      <c r="L1" s="115"/>
      <c r="M1" s="115"/>
      <c r="N1" s="115"/>
      <c r="O1" s="115"/>
    </row>
    <row r="2" spans="1:15" ht="12.75" x14ac:dyDescent="0.25">
      <c r="A2" s="112" t="s">
        <v>491</v>
      </c>
      <c r="B2" s="81"/>
      <c r="C2" s="81"/>
      <c r="D2" s="81"/>
      <c r="E2" s="81"/>
      <c r="F2" s="81"/>
      <c r="G2" s="81"/>
      <c r="H2" s="81"/>
    </row>
    <row r="3" spans="1:15" ht="12.75" x14ac:dyDescent="0.25">
      <c r="A3" s="643" t="s">
        <v>238</v>
      </c>
      <c r="B3" s="643"/>
      <c r="C3" s="643"/>
      <c r="D3" s="643"/>
      <c r="E3" s="643"/>
      <c r="F3" s="643"/>
      <c r="G3" s="643"/>
      <c r="H3" s="643"/>
    </row>
    <row r="4" spans="1:15" ht="18.75" customHeight="1" x14ac:dyDescent="0.25">
      <c r="A4" s="646" t="s">
        <v>221</v>
      </c>
      <c r="B4" s="646"/>
      <c r="C4" s="646"/>
      <c r="D4" s="646"/>
      <c r="E4" s="646"/>
      <c r="F4" s="646"/>
      <c r="G4" s="646"/>
      <c r="H4" s="646"/>
    </row>
    <row r="5" spans="1:15" ht="12.75" x14ac:dyDescent="0.25">
      <c r="A5" s="107" t="s">
        <v>225</v>
      </c>
      <c r="B5" s="107" t="s">
        <v>167</v>
      </c>
      <c r="C5" s="107" t="s">
        <v>168</v>
      </c>
      <c r="D5" s="107" t="s">
        <v>169</v>
      </c>
      <c r="E5" s="107" t="s">
        <v>226</v>
      </c>
      <c r="F5" s="107" t="s">
        <v>168</v>
      </c>
      <c r="G5" s="107" t="s">
        <v>169</v>
      </c>
      <c r="H5" s="107" t="s">
        <v>227</v>
      </c>
      <c r="I5" s="104"/>
      <c r="J5" s="104"/>
      <c r="K5" s="104"/>
      <c r="L5" s="104"/>
    </row>
    <row r="6" spans="1:15" ht="13.5" x14ac:dyDescent="0.3">
      <c r="A6" s="110" t="s">
        <v>170</v>
      </c>
      <c r="B6" s="108">
        <v>21</v>
      </c>
      <c r="C6" s="108">
        <v>8</v>
      </c>
      <c r="D6" s="108">
        <f>+C6*B6</f>
        <v>168</v>
      </c>
      <c r="E6" s="108"/>
      <c r="F6" s="108">
        <v>8</v>
      </c>
      <c r="G6" s="108">
        <f>+F6*E6</f>
        <v>0</v>
      </c>
      <c r="H6" s="108">
        <f>+D6-G6</f>
        <v>168</v>
      </c>
      <c r="J6" s="105"/>
      <c r="K6" s="105"/>
      <c r="L6" s="105"/>
    </row>
    <row r="7" spans="1:15" ht="13.5" x14ac:dyDescent="0.3">
      <c r="A7" s="110" t="s">
        <v>171</v>
      </c>
      <c r="B7" s="108">
        <v>21</v>
      </c>
      <c r="C7" s="108">
        <v>8</v>
      </c>
      <c r="D7" s="108">
        <f t="shared" ref="D7:D17" si="0">+C7*B7</f>
        <v>168</v>
      </c>
      <c r="E7" s="108"/>
      <c r="F7" s="108">
        <v>8</v>
      </c>
      <c r="G7" s="108">
        <f t="shared" ref="G7:G17" si="1">+F7*E7</f>
        <v>0</v>
      </c>
      <c r="H7" s="108">
        <f t="shared" ref="H7:H17" si="2">+D7-G7</f>
        <v>168</v>
      </c>
      <c r="J7" s="105"/>
      <c r="K7" s="105"/>
      <c r="L7" s="105"/>
    </row>
    <row r="8" spans="1:15" ht="13.5" x14ac:dyDescent="0.3">
      <c r="A8" s="110" t="s">
        <v>172</v>
      </c>
      <c r="B8" s="108">
        <v>18</v>
      </c>
      <c r="C8" s="108">
        <v>8</v>
      </c>
      <c r="D8" s="108">
        <f t="shared" si="0"/>
        <v>144</v>
      </c>
      <c r="E8" s="108"/>
      <c r="F8" s="108">
        <v>8</v>
      </c>
      <c r="G8" s="108">
        <f t="shared" si="1"/>
        <v>0</v>
      </c>
      <c r="H8" s="108">
        <f t="shared" si="2"/>
        <v>144</v>
      </c>
      <c r="J8" s="105"/>
      <c r="K8" s="105"/>
      <c r="L8" s="105"/>
    </row>
    <row r="9" spans="1:15" ht="13.5" x14ac:dyDescent="0.3">
      <c r="A9" s="110" t="s">
        <v>173</v>
      </c>
      <c r="B9" s="108">
        <v>22</v>
      </c>
      <c r="C9" s="108">
        <v>8</v>
      </c>
      <c r="D9" s="108">
        <f t="shared" si="0"/>
        <v>176</v>
      </c>
      <c r="E9" s="108"/>
      <c r="F9" s="108">
        <v>8</v>
      </c>
      <c r="G9" s="108">
        <f t="shared" si="1"/>
        <v>0</v>
      </c>
      <c r="H9" s="108">
        <f t="shared" si="2"/>
        <v>176</v>
      </c>
      <c r="J9" s="105"/>
      <c r="K9" s="105"/>
      <c r="L9" s="105"/>
    </row>
    <row r="10" spans="1:15" ht="13.5" x14ac:dyDescent="0.3">
      <c r="A10" s="110" t="s">
        <v>174</v>
      </c>
      <c r="B10" s="108">
        <v>21</v>
      </c>
      <c r="C10" s="108">
        <v>8</v>
      </c>
      <c r="D10" s="108">
        <f t="shared" si="0"/>
        <v>168</v>
      </c>
      <c r="E10" s="108"/>
      <c r="F10" s="108">
        <v>8</v>
      </c>
      <c r="G10" s="108">
        <f t="shared" si="1"/>
        <v>0</v>
      </c>
      <c r="H10" s="108">
        <f t="shared" si="2"/>
        <v>168</v>
      </c>
      <c r="J10" s="105"/>
      <c r="K10" s="105"/>
      <c r="L10" s="105"/>
    </row>
    <row r="11" spans="1:15" ht="13.5" x14ac:dyDescent="0.3">
      <c r="A11" s="110" t="s">
        <v>175</v>
      </c>
      <c r="B11" s="108">
        <v>18</v>
      </c>
      <c r="C11" s="108">
        <v>8</v>
      </c>
      <c r="D11" s="108">
        <f t="shared" si="0"/>
        <v>144</v>
      </c>
      <c r="E11" s="108"/>
      <c r="F11" s="108">
        <v>8</v>
      </c>
      <c r="G11" s="108">
        <f t="shared" si="1"/>
        <v>0</v>
      </c>
      <c r="H11" s="108">
        <f t="shared" si="2"/>
        <v>144</v>
      </c>
      <c r="J11" s="105"/>
      <c r="K11" s="105"/>
      <c r="L11" s="105"/>
    </row>
    <row r="12" spans="1:15" ht="13.5" x14ac:dyDescent="0.3">
      <c r="A12" s="110" t="s">
        <v>176</v>
      </c>
      <c r="B12" s="108">
        <v>22</v>
      </c>
      <c r="C12" s="108">
        <v>8</v>
      </c>
      <c r="D12" s="108">
        <f t="shared" si="0"/>
        <v>176</v>
      </c>
      <c r="E12" s="108"/>
      <c r="F12" s="108">
        <v>8</v>
      </c>
      <c r="G12" s="108">
        <f t="shared" si="1"/>
        <v>0</v>
      </c>
      <c r="H12" s="108">
        <f t="shared" si="2"/>
        <v>176</v>
      </c>
      <c r="J12" s="105"/>
      <c r="K12" s="105"/>
      <c r="L12" s="105"/>
    </row>
    <row r="13" spans="1:15" ht="13.5" x14ac:dyDescent="0.3">
      <c r="A13" s="110" t="s">
        <v>177</v>
      </c>
      <c r="B13" s="108">
        <v>20</v>
      </c>
      <c r="C13" s="108">
        <v>8</v>
      </c>
      <c r="D13" s="108">
        <f t="shared" si="0"/>
        <v>160</v>
      </c>
      <c r="E13" s="108"/>
      <c r="F13" s="108">
        <v>8</v>
      </c>
      <c r="G13" s="108">
        <f t="shared" si="1"/>
        <v>0</v>
      </c>
      <c r="H13" s="108">
        <f t="shared" si="2"/>
        <v>160</v>
      </c>
      <c r="J13" s="105"/>
      <c r="K13" s="105"/>
      <c r="L13" s="105"/>
    </row>
    <row r="14" spans="1:15" ht="13.5" x14ac:dyDescent="0.3">
      <c r="A14" s="110" t="s">
        <v>178</v>
      </c>
      <c r="B14" s="108">
        <v>21</v>
      </c>
      <c r="C14" s="108">
        <v>8</v>
      </c>
      <c r="D14" s="108">
        <f t="shared" si="0"/>
        <v>168</v>
      </c>
      <c r="E14" s="108"/>
      <c r="F14" s="108">
        <v>8</v>
      </c>
      <c r="G14" s="108">
        <f t="shared" si="1"/>
        <v>0</v>
      </c>
      <c r="H14" s="108">
        <f t="shared" si="2"/>
        <v>168</v>
      </c>
      <c r="J14" s="105"/>
      <c r="K14" s="105"/>
      <c r="L14" s="105"/>
    </row>
    <row r="15" spans="1:15" ht="13.5" x14ac:dyDescent="0.3">
      <c r="A15" s="110" t="s">
        <v>179</v>
      </c>
      <c r="B15" s="108">
        <v>22</v>
      </c>
      <c r="C15" s="108">
        <v>8</v>
      </c>
      <c r="D15" s="108">
        <f t="shared" si="0"/>
        <v>176</v>
      </c>
      <c r="E15" s="108"/>
      <c r="F15" s="108">
        <v>8</v>
      </c>
      <c r="G15" s="108">
        <f t="shared" si="1"/>
        <v>0</v>
      </c>
      <c r="H15" s="108">
        <f t="shared" si="2"/>
        <v>176</v>
      </c>
      <c r="J15" s="105"/>
      <c r="K15" s="105"/>
      <c r="L15" s="105"/>
    </row>
    <row r="16" spans="1:15" ht="13.5" x14ac:dyDescent="0.3">
      <c r="A16" s="110" t="s">
        <v>180</v>
      </c>
      <c r="B16" s="108">
        <v>19</v>
      </c>
      <c r="C16" s="108">
        <v>8</v>
      </c>
      <c r="D16" s="108">
        <f t="shared" si="0"/>
        <v>152</v>
      </c>
      <c r="E16" s="108"/>
      <c r="F16" s="108">
        <v>8</v>
      </c>
      <c r="G16" s="108">
        <f t="shared" si="1"/>
        <v>0</v>
      </c>
      <c r="H16" s="108">
        <f t="shared" si="2"/>
        <v>152</v>
      </c>
      <c r="J16" s="105"/>
      <c r="K16" s="105"/>
      <c r="L16" s="105"/>
    </row>
    <row r="17" spans="1:15" ht="13.5" x14ac:dyDescent="0.3">
      <c r="A17" s="110" t="s">
        <v>181</v>
      </c>
      <c r="B17" s="108">
        <v>21</v>
      </c>
      <c r="C17" s="108">
        <v>8</v>
      </c>
      <c r="D17" s="108">
        <f t="shared" si="0"/>
        <v>168</v>
      </c>
      <c r="E17" s="108"/>
      <c r="F17" s="108">
        <v>8</v>
      </c>
      <c r="G17" s="108">
        <f t="shared" si="1"/>
        <v>0</v>
      </c>
      <c r="H17" s="108">
        <f t="shared" si="2"/>
        <v>168</v>
      </c>
      <c r="J17" s="105"/>
      <c r="K17" s="105"/>
      <c r="L17" s="105"/>
    </row>
    <row r="18" spans="1:15" ht="12.75" x14ac:dyDescent="0.25">
      <c r="A18" s="111" t="s">
        <v>5</v>
      </c>
      <c r="B18" s="107">
        <f>SUM(B6:B17)</f>
        <v>246</v>
      </c>
      <c r="C18" s="107"/>
      <c r="D18" s="107">
        <f>SUM(D6:D17)</f>
        <v>1968</v>
      </c>
      <c r="E18" s="107">
        <f>SUM(E6:E17)</f>
        <v>0</v>
      </c>
      <c r="F18" s="107"/>
      <c r="G18" s="107">
        <f>SUM(G6:G17)</f>
        <v>0</v>
      </c>
      <c r="H18" s="107">
        <f>SUM(H6:H17)</f>
        <v>1968</v>
      </c>
      <c r="I18" s="106"/>
      <c r="J18" s="104"/>
      <c r="K18" s="104"/>
      <c r="L18" s="104"/>
    </row>
    <row r="19" spans="1:15" x14ac:dyDescent="0.2">
      <c r="A19" s="109"/>
      <c r="B19" s="114"/>
      <c r="C19" s="81"/>
      <c r="D19" s="81"/>
      <c r="E19" s="81"/>
      <c r="F19" s="81"/>
      <c r="G19" s="82"/>
      <c r="H19" s="81"/>
      <c r="L19" s="105"/>
    </row>
    <row r="20" spans="1:15" ht="25.5" customHeight="1" x14ac:dyDescent="0.25">
      <c r="A20" s="641" t="s">
        <v>231</v>
      </c>
      <c r="B20" s="642"/>
    </row>
    <row r="21" spans="1:15" ht="12.75" x14ac:dyDescent="0.25">
      <c r="A21" s="111" t="s">
        <v>228</v>
      </c>
      <c r="B21" s="102">
        <f>+B18-E18</f>
        <v>246</v>
      </c>
      <c r="F21" s="104"/>
      <c r="G21" s="104"/>
      <c r="H21" s="104"/>
      <c r="I21" s="104"/>
      <c r="K21" s="104"/>
      <c r="L21" s="104"/>
      <c r="M21" s="104"/>
      <c r="N21" s="104"/>
    </row>
    <row r="22" spans="1:15" ht="12.75" x14ac:dyDescent="0.25">
      <c r="A22" s="111" t="s">
        <v>229</v>
      </c>
      <c r="B22" s="102">
        <f>+D18-G18</f>
        <v>1968</v>
      </c>
      <c r="G22" s="105"/>
      <c r="H22" s="105"/>
      <c r="I22" s="105"/>
      <c r="L22" s="105"/>
      <c r="M22" s="105"/>
      <c r="N22" s="105"/>
    </row>
    <row r="23" spans="1:15" x14ac:dyDescent="0.2">
      <c r="G23" s="105"/>
      <c r="H23" s="105"/>
      <c r="I23" s="105"/>
      <c r="L23" s="105"/>
      <c r="M23" s="105"/>
      <c r="N23" s="105"/>
    </row>
    <row r="24" spans="1:15" x14ac:dyDescent="0.2">
      <c r="G24" s="105"/>
      <c r="H24" s="105"/>
      <c r="I24" s="105"/>
      <c r="L24" s="105"/>
      <c r="M24" s="105"/>
      <c r="N24" s="105"/>
    </row>
    <row r="25" spans="1:15" ht="15" x14ac:dyDescent="0.25">
      <c r="A25" s="113" t="s">
        <v>166</v>
      </c>
      <c r="G25" s="105"/>
      <c r="H25" s="105"/>
      <c r="I25" s="105"/>
      <c r="L25" s="105"/>
      <c r="M25" s="105"/>
      <c r="N25" s="105"/>
    </row>
    <row r="26" spans="1:15" x14ac:dyDescent="0.2">
      <c r="G26" s="105"/>
      <c r="H26" s="105"/>
      <c r="I26" s="105"/>
      <c r="L26" s="105"/>
      <c r="M26" s="105"/>
      <c r="N26" s="105"/>
    </row>
    <row r="27" spans="1:15" s="81" customFormat="1" ht="17.25" customHeight="1" x14ac:dyDescent="0.25">
      <c r="A27" s="646" t="s">
        <v>230</v>
      </c>
      <c r="B27" s="646"/>
      <c r="C27" s="646"/>
      <c r="D27" s="646"/>
      <c r="E27" s="646"/>
      <c r="F27" s="646"/>
      <c r="G27" s="646"/>
      <c r="H27" s="646"/>
      <c r="I27" s="646"/>
      <c r="J27" s="646"/>
      <c r="K27" s="646"/>
      <c r="L27" s="646"/>
      <c r="M27" s="646"/>
      <c r="N27" s="646"/>
      <c r="O27" s="646"/>
    </row>
    <row r="28" spans="1:15" s="82" customFormat="1" ht="18" customHeight="1" x14ac:dyDescent="0.2">
      <c r="A28" s="647" t="s">
        <v>104</v>
      </c>
      <c r="B28" s="647" t="s">
        <v>105</v>
      </c>
      <c r="C28" s="647" t="s">
        <v>107</v>
      </c>
      <c r="D28" s="647" t="s">
        <v>108</v>
      </c>
      <c r="E28" s="647" t="s">
        <v>110</v>
      </c>
      <c r="F28" s="83" t="s">
        <v>111</v>
      </c>
      <c r="G28" s="83" t="s">
        <v>184</v>
      </c>
      <c r="H28" s="84" t="s">
        <v>112</v>
      </c>
      <c r="I28" s="84" t="s">
        <v>185</v>
      </c>
      <c r="J28" s="647" t="s">
        <v>186</v>
      </c>
      <c r="K28" s="649" t="s">
        <v>187</v>
      </c>
      <c r="L28" s="647" t="s">
        <v>188</v>
      </c>
      <c r="M28" s="647" t="s">
        <v>189</v>
      </c>
      <c r="N28" s="647" t="s">
        <v>190</v>
      </c>
    </row>
    <row r="29" spans="1:15" s="81" customFormat="1" x14ac:dyDescent="0.2">
      <c r="A29" s="648"/>
      <c r="B29" s="648"/>
      <c r="C29" s="648"/>
      <c r="D29" s="648"/>
      <c r="E29" s="648"/>
      <c r="F29" s="651" t="s">
        <v>191</v>
      </c>
      <c r="G29" s="651"/>
      <c r="H29" s="652" t="s">
        <v>192</v>
      </c>
      <c r="I29" s="652"/>
      <c r="J29" s="648"/>
      <c r="K29" s="650"/>
      <c r="L29" s="648"/>
      <c r="M29" s="648"/>
      <c r="N29" s="648"/>
    </row>
    <row r="30" spans="1:15" s="120" customFormat="1" ht="77.25" customHeight="1" x14ac:dyDescent="0.3">
      <c r="A30" s="116" t="s">
        <v>193</v>
      </c>
      <c r="B30" s="116" t="s">
        <v>194</v>
      </c>
      <c r="C30" s="117" t="s">
        <v>195</v>
      </c>
      <c r="D30" s="117" t="s">
        <v>182</v>
      </c>
      <c r="E30" s="118" t="s">
        <v>196</v>
      </c>
      <c r="F30" s="117" t="s">
        <v>197</v>
      </c>
      <c r="G30" s="117" t="s">
        <v>198</v>
      </c>
      <c r="H30" s="117" t="s">
        <v>199</v>
      </c>
      <c r="I30" s="117" t="s">
        <v>200</v>
      </c>
      <c r="J30" s="117" t="s">
        <v>201</v>
      </c>
      <c r="K30" s="119" t="s">
        <v>202</v>
      </c>
      <c r="L30" s="117" t="s">
        <v>203</v>
      </c>
      <c r="M30" s="117" t="s">
        <v>204</v>
      </c>
      <c r="N30" s="117" t="s">
        <v>205</v>
      </c>
    </row>
    <row r="31" spans="1:15" s="25" customFormat="1" ht="16.5" x14ac:dyDescent="0.3">
      <c r="A31" s="121"/>
      <c r="B31" s="121"/>
      <c r="C31" s="121"/>
      <c r="D31" s="121"/>
      <c r="E31" s="121"/>
      <c r="F31" s="122">
        <v>0.1</v>
      </c>
      <c r="G31" s="122">
        <v>0.05</v>
      </c>
      <c r="H31" s="122">
        <v>2.5000000000000001E-2</v>
      </c>
      <c r="I31" s="123">
        <f>+I32/E32</f>
        <v>6.097560975609756E-2</v>
      </c>
      <c r="J31" s="124">
        <f>SUM(F31:I31)</f>
        <v>0.23597560975609758</v>
      </c>
      <c r="K31" s="125"/>
      <c r="L31" s="126"/>
      <c r="M31" s="126"/>
      <c r="N31" s="121"/>
    </row>
    <row r="32" spans="1:15" s="120" customFormat="1" ht="13.5" x14ac:dyDescent="0.3">
      <c r="A32" s="108" t="s">
        <v>383</v>
      </c>
      <c r="B32" s="108">
        <v>1</v>
      </c>
      <c r="C32" s="108">
        <f>+B21</f>
        <v>246</v>
      </c>
      <c r="D32" s="108">
        <v>0</v>
      </c>
      <c r="E32" s="127">
        <f t="shared" ref="E32:E38" si="3">+C32-D32</f>
        <v>246</v>
      </c>
      <c r="F32" s="128">
        <f>+E32*$F$31*0</f>
        <v>0</v>
      </c>
      <c r="G32" s="129">
        <f t="shared" ref="G32:G38" si="4">+E32*$G$31</f>
        <v>12.3</v>
      </c>
      <c r="H32" s="129">
        <f t="shared" ref="H32:H38" si="5">+E32*$H$31</f>
        <v>6.15</v>
      </c>
      <c r="I32" s="128">
        <v>15</v>
      </c>
      <c r="J32" s="128">
        <f>SUM(F32:I32)</f>
        <v>33.450000000000003</v>
      </c>
      <c r="K32" s="130">
        <f>+E32-J32</f>
        <v>212.55</v>
      </c>
      <c r="L32" s="131">
        <v>8</v>
      </c>
      <c r="M32" s="131">
        <f>+K32*L32</f>
        <v>1700.4</v>
      </c>
      <c r="N32" s="131">
        <f>+M32*B32</f>
        <v>1700.4</v>
      </c>
    </row>
    <row r="33" spans="1:14" s="120" customFormat="1" ht="13.5" x14ac:dyDescent="0.3">
      <c r="A33" s="108" t="s">
        <v>434</v>
      </c>
      <c r="B33" s="108">
        <v>2</v>
      </c>
      <c r="C33" s="108">
        <f>+B21</f>
        <v>246</v>
      </c>
      <c r="D33" s="108">
        <f>+'[2]2. Días -horas hábiles x vig'!D63</f>
        <v>0</v>
      </c>
      <c r="E33" s="127">
        <f t="shared" si="3"/>
        <v>246</v>
      </c>
      <c r="F33" s="128">
        <f t="shared" ref="F33:F34" si="6">+E33*$F$31*0</f>
        <v>0</v>
      </c>
      <c r="G33" s="129">
        <f t="shared" si="4"/>
        <v>12.3</v>
      </c>
      <c r="H33" s="129">
        <f t="shared" si="5"/>
        <v>6.15</v>
      </c>
      <c r="I33" s="128">
        <v>0</v>
      </c>
      <c r="J33" s="128">
        <f>SUM(F33:I33)</f>
        <v>18.450000000000003</v>
      </c>
      <c r="K33" s="130">
        <f>+E33-J33</f>
        <v>227.55</v>
      </c>
      <c r="L33" s="131">
        <v>8</v>
      </c>
      <c r="M33" s="131">
        <f>+K33*L33</f>
        <v>1820.4</v>
      </c>
      <c r="N33" s="131">
        <f>+M33*B33</f>
        <v>3640.8</v>
      </c>
    </row>
    <row r="34" spans="1:14" s="120" customFormat="1" ht="13.5" x14ac:dyDescent="0.3">
      <c r="A34" s="108" t="s">
        <v>401</v>
      </c>
      <c r="B34" s="108">
        <v>6</v>
      </c>
      <c r="C34" s="108">
        <f>+B21</f>
        <v>246</v>
      </c>
      <c r="D34" s="108">
        <v>0</v>
      </c>
      <c r="E34" s="127">
        <f t="shared" si="3"/>
        <v>246</v>
      </c>
      <c r="F34" s="128">
        <f t="shared" si="6"/>
        <v>0</v>
      </c>
      <c r="G34" s="129">
        <f t="shared" si="4"/>
        <v>12.3</v>
      </c>
      <c r="H34" s="129">
        <f t="shared" si="5"/>
        <v>6.15</v>
      </c>
      <c r="I34" s="128">
        <v>0</v>
      </c>
      <c r="J34" s="128">
        <f>SUM(F34:I34)</f>
        <v>18.450000000000003</v>
      </c>
      <c r="K34" s="130">
        <f>+E34-J34</f>
        <v>227.55</v>
      </c>
      <c r="L34" s="131">
        <v>8</v>
      </c>
      <c r="M34" s="131">
        <f>+K34*L34</f>
        <v>1820.4</v>
      </c>
      <c r="N34" s="131">
        <f>+M34*B34</f>
        <v>10922.400000000001</v>
      </c>
    </row>
    <row r="35" spans="1:14" s="120" customFormat="1" ht="13.5" x14ac:dyDescent="0.3">
      <c r="A35" s="108"/>
      <c r="B35" s="108"/>
      <c r="C35" s="108"/>
      <c r="D35" s="108">
        <v>0</v>
      </c>
      <c r="E35" s="127">
        <f t="shared" si="3"/>
        <v>0</v>
      </c>
      <c r="F35" s="128">
        <f t="shared" ref="F35:F38" si="7">+E35*$F$31</f>
        <v>0</v>
      </c>
      <c r="G35" s="129">
        <f t="shared" si="4"/>
        <v>0</v>
      </c>
      <c r="H35" s="129">
        <f t="shared" si="5"/>
        <v>0</v>
      </c>
      <c r="I35" s="128">
        <v>0</v>
      </c>
      <c r="J35" s="128">
        <f t="shared" ref="J35:J42" si="8">SUM(F35:I35)</f>
        <v>0</v>
      </c>
      <c r="K35" s="130">
        <f t="shared" ref="K35:K42" si="9">+E35-J35</f>
        <v>0</v>
      </c>
      <c r="L35" s="131">
        <v>8</v>
      </c>
      <c r="M35" s="131">
        <f t="shared" ref="M35:M42" si="10">+K35*L35</f>
        <v>0</v>
      </c>
      <c r="N35" s="131">
        <f t="shared" ref="N35:N42" si="11">+M35*B35</f>
        <v>0</v>
      </c>
    </row>
    <row r="36" spans="1:14" s="120" customFormat="1" ht="13.5" x14ac:dyDescent="0.3">
      <c r="A36" s="108"/>
      <c r="B36" s="108"/>
      <c r="C36" s="108"/>
      <c r="D36" s="108">
        <v>0</v>
      </c>
      <c r="E36" s="127">
        <f t="shared" si="3"/>
        <v>0</v>
      </c>
      <c r="F36" s="128">
        <f t="shared" si="7"/>
        <v>0</v>
      </c>
      <c r="G36" s="129">
        <f t="shared" si="4"/>
        <v>0</v>
      </c>
      <c r="H36" s="129">
        <f t="shared" si="5"/>
        <v>0</v>
      </c>
      <c r="I36" s="128">
        <v>0</v>
      </c>
      <c r="J36" s="128">
        <f t="shared" si="8"/>
        <v>0</v>
      </c>
      <c r="K36" s="130">
        <f t="shared" si="9"/>
        <v>0</v>
      </c>
      <c r="L36" s="131">
        <v>8</v>
      </c>
      <c r="M36" s="131">
        <f t="shared" si="10"/>
        <v>0</v>
      </c>
      <c r="N36" s="131">
        <f t="shared" si="11"/>
        <v>0</v>
      </c>
    </row>
    <row r="37" spans="1:14" s="120" customFormat="1" ht="13.5" x14ac:dyDescent="0.3">
      <c r="A37" s="108"/>
      <c r="B37" s="108"/>
      <c r="C37" s="108"/>
      <c r="D37" s="108">
        <v>0</v>
      </c>
      <c r="E37" s="127">
        <f t="shared" si="3"/>
        <v>0</v>
      </c>
      <c r="F37" s="128">
        <f t="shared" si="7"/>
        <v>0</v>
      </c>
      <c r="G37" s="129">
        <f t="shared" si="4"/>
        <v>0</v>
      </c>
      <c r="H37" s="129">
        <f t="shared" si="5"/>
        <v>0</v>
      </c>
      <c r="I37" s="128">
        <v>0</v>
      </c>
      <c r="J37" s="128">
        <f t="shared" si="8"/>
        <v>0</v>
      </c>
      <c r="K37" s="130">
        <f t="shared" si="9"/>
        <v>0</v>
      </c>
      <c r="L37" s="131">
        <v>8</v>
      </c>
      <c r="M37" s="131">
        <f t="shared" si="10"/>
        <v>0</v>
      </c>
      <c r="N37" s="131">
        <f t="shared" si="11"/>
        <v>0</v>
      </c>
    </row>
    <row r="38" spans="1:14" s="120" customFormat="1" ht="13.5" x14ac:dyDescent="0.3">
      <c r="A38" s="108"/>
      <c r="B38" s="108"/>
      <c r="C38" s="108"/>
      <c r="D38" s="108">
        <v>0</v>
      </c>
      <c r="E38" s="127">
        <f t="shared" si="3"/>
        <v>0</v>
      </c>
      <c r="F38" s="128">
        <f t="shared" si="7"/>
        <v>0</v>
      </c>
      <c r="G38" s="129">
        <f t="shared" si="4"/>
        <v>0</v>
      </c>
      <c r="H38" s="129">
        <f t="shared" si="5"/>
        <v>0</v>
      </c>
      <c r="I38" s="128">
        <v>0</v>
      </c>
      <c r="J38" s="128">
        <f t="shared" si="8"/>
        <v>0</v>
      </c>
      <c r="K38" s="130">
        <f t="shared" si="9"/>
        <v>0</v>
      </c>
      <c r="L38" s="131">
        <v>8</v>
      </c>
      <c r="M38" s="131">
        <f t="shared" si="10"/>
        <v>0</v>
      </c>
      <c r="N38" s="131">
        <f t="shared" si="11"/>
        <v>0</v>
      </c>
    </row>
    <row r="39" spans="1:14" s="120" customFormat="1" ht="13.5" x14ac:dyDescent="0.3">
      <c r="A39" s="108"/>
      <c r="B39" s="108"/>
      <c r="C39" s="108"/>
      <c r="D39" s="108"/>
      <c r="E39" s="127"/>
      <c r="F39" s="128"/>
      <c r="G39" s="129"/>
      <c r="H39" s="129"/>
      <c r="I39" s="128"/>
      <c r="J39" s="128">
        <f t="shared" si="8"/>
        <v>0</v>
      </c>
      <c r="K39" s="130">
        <f t="shared" si="9"/>
        <v>0</v>
      </c>
      <c r="L39" s="131"/>
      <c r="M39" s="131">
        <f t="shared" si="10"/>
        <v>0</v>
      </c>
      <c r="N39" s="131">
        <f t="shared" si="11"/>
        <v>0</v>
      </c>
    </row>
    <row r="40" spans="1:14" s="120" customFormat="1" ht="13.5" x14ac:dyDescent="0.3">
      <c r="A40" s="108"/>
      <c r="B40" s="108"/>
      <c r="C40" s="108"/>
      <c r="D40" s="108"/>
      <c r="E40" s="127"/>
      <c r="F40" s="128"/>
      <c r="G40" s="129"/>
      <c r="H40" s="129"/>
      <c r="I40" s="128"/>
      <c r="J40" s="128">
        <f t="shared" si="8"/>
        <v>0</v>
      </c>
      <c r="K40" s="130">
        <f t="shared" si="9"/>
        <v>0</v>
      </c>
      <c r="L40" s="131"/>
      <c r="M40" s="131">
        <f t="shared" si="10"/>
        <v>0</v>
      </c>
      <c r="N40" s="131">
        <f t="shared" si="11"/>
        <v>0</v>
      </c>
    </row>
    <row r="41" spans="1:14" s="120" customFormat="1" ht="13.5" x14ac:dyDescent="0.3">
      <c r="A41" s="108"/>
      <c r="B41" s="108"/>
      <c r="C41" s="108"/>
      <c r="D41" s="108"/>
      <c r="E41" s="127"/>
      <c r="F41" s="128"/>
      <c r="G41" s="129"/>
      <c r="H41" s="129"/>
      <c r="I41" s="128"/>
      <c r="J41" s="128">
        <f t="shared" si="8"/>
        <v>0</v>
      </c>
      <c r="K41" s="130">
        <f t="shared" si="9"/>
        <v>0</v>
      </c>
      <c r="L41" s="131"/>
      <c r="M41" s="131">
        <f t="shared" si="10"/>
        <v>0</v>
      </c>
      <c r="N41" s="131">
        <f t="shared" si="11"/>
        <v>0</v>
      </c>
    </row>
    <row r="42" spans="1:14" s="120" customFormat="1" ht="13.5" x14ac:dyDescent="0.3">
      <c r="A42" s="108"/>
      <c r="B42" s="108"/>
      <c r="C42" s="108"/>
      <c r="D42" s="108"/>
      <c r="E42" s="127"/>
      <c r="F42" s="128"/>
      <c r="G42" s="129"/>
      <c r="H42" s="129"/>
      <c r="I42" s="128"/>
      <c r="J42" s="128">
        <f t="shared" si="8"/>
        <v>0</v>
      </c>
      <c r="K42" s="130">
        <f t="shared" si="9"/>
        <v>0</v>
      </c>
      <c r="L42" s="131"/>
      <c r="M42" s="131">
        <f t="shared" si="10"/>
        <v>0</v>
      </c>
      <c r="N42" s="131">
        <f t="shared" si="11"/>
        <v>0</v>
      </c>
    </row>
    <row r="43" spans="1:14" s="120" customFormat="1" ht="13.5" x14ac:dyDescent="0.3">
      <c r="A43" s="132"/>
      <c r="B43" s="133"/>
      <c r="C43" s="133"/>
      <c r="D43" s="133"/>
      <c r="E43" s="133"/>
      <c r="F43" s="133"/>
      <c r="G43" s="133"/>
      <c r="H43" s="133"/>
      <c r="I43" s="133"/>
      <c r="J43" s="134" t="s">
        <v>222</v>
      </c>
      <c r="K43" s="135">
        <f>SUM(K32:K42)</f>
        <v>667.65000000000009</v>
      </c>
      <c r="L43" s="135"/>
      <c r="M43" s="135"/>
      <c r="N43" s="135">
        <f>SUM(N32:N42)</f>
        <v>16263.600000000002</v>
      </c>
    </row>
    <row r="44" spans="1:14" s="136" customFormat="1" ht="13.5" x14ac:dyDescent="0.3"/>
    <row r="45" spans="1:14" s="136" customFormat="1" ht="13.5" x14ac:dyDescent="0.3"/>
    <row r="46" spans="1:14" s="136" customFormat="1" ht="13.5" x14ac:dyDescent="0.3"/>
    <row r="48" spans="1:14" ht="23.25" customHeight="1" x14ac:dyDescent="0.25">
      <c r="A48" s="641" t="s">
        <v>232</v>
      </c>
      <c r="B48" s="642"/>
    </row>
    <row r="49" spans="1:3" ht="22.5" customHeight="1" x14ac:dyDescent="0.25">
      <c r="A49" s="111" t="s">
        <v>228</v>
      </c>
      <c r="B49" s="137">
        <f>K43</f>
        <v>667.65000000000009</v>
      </c>
    </row>
    <row r="50" spans="1:3" ht="27.75" customHeight="1" x14ac:dyDescent="0.25">
      <c r="A50" s="138" t="s">
        <v>233</v>
      </c>
      <c r="B50" s="137">
        <f>+N43</f>
        <v>16263.600000000002</v>
      </c>
    </row>
    <row r="54" spans="1:3" ht="12" thickBot="1" x14ac:dyDescent="0.25"/>
    <row r="55" spans="1:3" ht="41.25" customHeight="1" x14ac:dyDescent="0.25">
      <c r="A55" s="644" t="s">
        <v>252</v>
      </c>
      <c r="B55" s="645"/>
    </row>
    <row r="56" spans="1:3" ht="15" x14ac:dyDescent="0.25">
      <c r="A56" s="5"/>
      <c r="B56" s="150" t="s">
        <v>168</v>
      </c>
    </row>
    <row r="57" spans="1:3" ht="25.5" x14ac:dyDescent="0.25">
      <c r="A57" s="151" t="s">
        <v>101</v>
      </c>
      <c r="B57" s="152">
        <f>+'1. Horas requeridas PAAI'!I108</f>
        <v>18369</v>
      </c>
    </row>
    <row r="58" spans="1:3" ht="25.5" x14ac:dyDescent="0.25">
      <c r="A58" s="151" t="s">
        <v>183</v>
      </c>
      <c r="B58" s="153">
        <f>+B50</f>
        <v>16263.600000000002</v>
      </c>
    </row>
    <row r="59" spans="1:3" ht="12.75" x14ac:dyDescent="0.25">
      <c r="A59" s="151" t="s">
        <v>254</v>
      </c>
      <c r="B59" s="339">
        <f>+B58-B57</f>
        <v>-2105.3999999999978</v>
      </c>
      <c r="C59" s="340">
        <f>+B59/1968</f>
        <v>-1.0698170731707306</v>
      </c>
    </row>
    <row r="60" spans="1:3" ht="36.75" customHeight="1" thickBot="1" x14ac:dyDescent="0.3">
      <c r="A60" s="154" t="s">
        <v>253</v>
      </c>
      <c r="B60" s="155" t="str">
        <f>IF(B58&gt;B57,"NO PRESENTA DÉFICIT","PRESENTA DÉFICIT")</f>
        <v>PRESENTA DÉFICIT</v>
      </c>
    </row>
    <row r="61" spans="1:3" ht="15" x14ac:dyDescent="0.25">
      <c r="A61"/>
      <c r="B61"/>
    </row>
    <row r="62" spans="1:3" ht="15" x14ac:dyDescent="0.25">
      <c r="A62"/>
    </row>
  </sheetData>
  <mergeCells count="19">
    <mergeCell ref="C28:C29"/>
    <mergeCell ref="D28:D29"/>
    <mergeCell ref="E28:E29"/>
    <mergeCell ref="B1:G1"/>
    <mergeCell ref="A20:B20"/>
    <mergeCell ref="A3:H3"/>
    <mergeCell ref="A55:B55"/>
    <mergeCell ref="A4:H4"/>
    <mergeCell ref="A27:O27"/>
    <mergeCell ref="A48:B48"/>
    <mergeCell ref="J28:J29"/>
    <mergeCell ref="K28:K29"/>
    <mergeCell ref="L28:L29"/>
    <mergeCell ref="M28:M29"/>
    <mergeCell ref="N28:N29"/>
    <mergeCell ref="F29:G29"/>
    <mergeCell ref="H29:I29"/>
    <mergeCell ref="A28:A29"/>
    <mergeCell ref="B28:B29"/>
  </mergeCells>
  <dataValidations count="8">
    <dataValidation allowBlank="1" showInputMessage="1" showErrorMessage="1" prompt="Registre el numero de auditores de la OCI, discrimado por tipo de vinculacion ej Carrera Administrativa, Provisional o Contratista" sqref="B30"/>
    <dataValidation allowBlank="1" showInputMessage="1" showErrorMessage="1" prompt="Registre el tipo de vinculacion por auditor disponible en el equipo: Carrera Administrativa, Provisional,  Contratista  u otro." sqref="A30"/>
    <dataValidation allowBlank="1" showInputMessage="1" showErrorMessage="1" prompt="En caso de contar con auditores con permiso sindical registrelo de manera independiente, para efectuar el calculo respectivo" sqref="D30"/>
    <dataValidation allowBlank="1" showInputMessage="1" showErrorMessage="1" prompt="Registre en la celda inferior (amarilla) el % estimado a actividades administrativas y/o atencion a entes de control" sqref="F30"/>
    <dataValidation allowBlank="1" showInputMessage="1" showErrorMessage="1" prompt="Registre en celda inferior (amarilla) &quot; el % estimado a reuniones y/o capacitaciones" sqref="G30"/>
    <dataValidation allowBlank="1" showInputMessage="1" showErrorMessage="1" prompt="Registre en la en la celda inferior (amarilla) el % estimado por incapacidades y permisos" sqref="H30"/>
    <dataValidation allowBlank="1" showInputMessage="1" showErrorMessage="1" prompt="Registre los 15 dias habiles correspondientes de los auditores con derecho a disfrute a vacaciones" sqref="I30"/>
    <dataValidation allowBlank="1" showInputMessage="1" showErrorMessage="1" prompt="Registre el numero de horas laborables por tipo de vinculacion" sqref="L30"/>
  </dataValidations>
  <hyperlinks>
    <hyperlink ref="A25" r:id="rId1"/>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100"/>
  <sheetViews>
    <sheetView tabSelected="1" topLeftCell="A10" zoomScale="40" zoomScaleNormal="40" zoomScaleSheetLayoutView="40" workbookViewId="0">
      <pane xSplit="1" topLeftCell="B1" activePane="topRight" state="frozen"/>
      <selection pane="topRight" activeCell="A12" sqref="A12:A15"/>
    </sheetView>
  </sheetViews>
  <sheetFormatPr baseColWidth="10" defaultColWidth="11.42578125" defaultRowHeight="28.5" x14ac:dyDescent="0.45"/>
  <cols>
    <col min="1" max="1" width="13.7109375" style="32" customWidth="1"/>
    <col min="2" max="2" width="117" style="34" bestFit="1" customWidth="1"/>
    <col min="3" max="3" width="255.7109375" style="35" hidden="1" customWidth="1"/>
    <col min="4" max="4" width="255.7109375" style="36" hidden="1" customWidth="1"/>
    <col min="5" max="5" width="65.140625" style="36" customWidth="1"/>
    <col min="6" max="8" width="13.140625" style="35" customWidth="1"/>
    <col min="9" max="10" width="12.28515625" style="35" customWidth="1"/>
    <col min="11" max="11" width="17.42578125" style="35" customWidth="1"/>
    <col min="12" max="13" width="11.85546875" style="35" customWidth="1"/>
    <col min="14" max="23" width="11.85546875" style="34" customWidth="1"/>
    <col min="24" max="24" width="116.42578125" style="34" customWidth="1"/>
    <col min="25" max="25" width="122.85546875" style="34" customWidth="1"/>
    <col min="26" max="26" width="8" style="34" bestFit="1" customWidth="1"/>
    <col min="27" max="88" width="11.42578125" style="34"/>
    <col min="89" max="89" width="10.85546875" style="34" customWidth="1"/>
    <col min="90" max="92" width="11.42578125" style="34"/>
    <col min="93" max="16384" width="11.42578125" style="35"/>
  </cols>
  <sheetData>
    <row r="1" spans="1:107" s="30" customFormat="1" x14ac:dyDescent="0.25">
      <c r="A1" s="689" t="s">
        <v>18</v>
      </c>
      <c r="B1" s="690"/>
      <c r="C1" s="698" t="s">
        <v>514</v>
      </c>
      <c r="D1" s="699"/>
      <c r="E1" s="699"/>
      <c r="F1" s="699"/>
      <c r="G1" s="699"/>
      <c r="H1" s="699"/>
      <c r="I1" s="699"/>
      <c r="J1" s="699"/>
      <c r="K1" s="699"/>
      <c r="L1" s="699"/>
      <c r="M1" s="699"/>
      <c r="N1" s="702">
        <v>263</v>
      </c>
      <c r="O1" s="702"/>
      <c r="P1" s="702"/>
      <c r="Q1" s="702"/>
      <c r="R1" s="702"/>
      <c r="S1" s="702"/>
      <c r="T1" s="702"/>
      <c r="U1" s="702"/>
      <c r="V1" s="702"/>
      <c r="W1" s="703"/>
    </row>
    <row r="2" spans="1:107" s="30" customFormat="1" x14ac:dyDescent="0.25">
      <c r="A2" s="689"/>
      <c r="B2" s="690"/>
      <c r="C2" s="700"/>
      <c r="D2" s="701"/>
      <c r="E2" s="701"/>
      <c r="F2" s="701"/>
      <c r="G2" s="701"/>
      <c r="H2" s="701"/>
      <c r="I2" s="701"/>
      <c r="J2" s="701"/>
      <c r="K2" s="701"/>
      <c r="L2" s="701"/>
      <c r="M2" s="701"/>
      <c r="N2" s="704"/>
      <c r="O2" s="704"/>
      <c r="P2" s="704"/>
      <c r="Q2" s="704"/>
      <c r="R2" s="704"/>
      <c r="S2" s="704"/>
      <c r="T2" s="704"/>
      <c r="U2" s="704"/>
      <c r="V2" s="704"/>
      <c r="W2" s="705"/>
    </row>
    <row r="3" spans="1:107" s="30" customFormat="1" x14ac:dyDescent="0.25">
      <c r="A3" s="689"/>
      <c r="B3" s="690"/>
      <c r="C3" s="700"/>
      <c r="D3" s="701"/>
      <c r="E3" s="701"/>
      <c r="F3" s="701"/>
      <c r="G3" s="701"/>
      <c r="H3" s="701"/>
      <c r="I3" s="701"/>
      <c r="J3" s="701"/>
      <c r="K3" s="701"/>
      <c r="L3" s="701"/>
      <c r="M3" s="701"/>
      <c r="N3" s="704"/>
      <c r="O3" s="704"/>
      <c r="P3" s="704"/>
      <c r="Q3" s="704"/>
      <c r="R3" s="704"/>
      <c r="S3" s="704"/>
      <c r="T3" s="704"/>
      <c r="U3" s="704"/>
      <c r="V3" s="704"/>
      <c r="W3" s="705"/>
    </row>
    <row r="4" spans="1:107" s="30" customFormat="1" ht="52.5" customHeight="1" x14ac:dyDescent="0.25">
      <c r="A4" s="689"/>
      <c r="B4" s="690"/>
      <c r="C4" s="694" t="s">
        <v>350</v>
      </c>
      <c r="D4" s="694"/>
      <c r="E4" s="694"/>
      <c r="F4" s="694"/>
      <c r="G4" s="694"/>
      <c r="H4" s="694"/>
      <c r="I4" s="694"/>
      <c r="J4" s="694"/>
      <c r="K4" s="694"/>
      <c r="L4" s="694"/>
      <c r="M4" s="694"/>
      <c r="N4" s="694"/>
      <c r="O4" s="694"/>
      <c r="P4" s="694"/>
      <c r="Q4" s="694"/>
      <c r="R4" s="694"/>
      <c r="S4" s="694"/>
      <c r="T4" s="694"/>
      <c r="U4" s="694"/>
      <c r="V4" s="694"/>
      <c r="W4" s="695"/>
    </row>
    <row r="5" spans="1:107" s="30" customFormat="1" ht="97.5" customHeight="1" x14ac:dyDescent="0.25">
      <c r="A5" s="689"/>
      <c r="B5" s="690"/>
      <c r="C5" s="672" t="s">
        <v>351</v>
      </c>
      <c r="D5" s="672"/>
      <c r="E5" s="672"/>
      <c r="F5" s="672"/>
      <c r="G5" s="672"/>
      <c r="H5" s="672"/>
      <c r="I5" s="672"/>
      <c r="J5" s="672"/>
      <c r="K5" s="672"/>
      <c r="L5" s="672"/>
      <c r="M5" s="672"/>
      <c r="N5" s="672"/>
      <c r="O5" s="672"/>
      <c r="P5" s="672"/>
      <c r="Q5" s="672"/>
      <c r="R5" s="672"/>
      <c r="S5" s="672"/>
      <c r="T5" s="672"/>
      <c r="U5" s="672"/>
      <c r="V5" s="672"/>
      <c r="W5" s="673"/>
    </row>
    <row r="6" spans="1:107" s="30" customFormat="1" ht="106.5" customHeight="1" x14ac:dyDescent="0.25">
      <c r="A6" s="691"/>
      <c r="B6" s="692"/>
      <c r="C6" s="672" t="s">
        <v>492</v>
      </c>
      <c r="D6" s="672"/>
      <c r="E6" s="672"/>
      <c r="F6" s="672"/>
      <c r="G6" s="672"/>
      <c r="H6" s="672"/>
      <c r="I6" s="672"/>
      <c r="J6" s="672"/>
      <c r="K6" s="672"/>
      <c r="L6" s="672"/>
      <c r="M6" s="672"/>
      <c r="N6" s="672"/>
      <c r="O6" s="672"/>
      <c r="P6" s="672"/>
      <c r="Q6" s="672"/>
      <c r="R6" s="672"/>
      <c r="S6" s="672"/>
      <c r="T6" s="672"/>
      <c r="U6" s="672"/>
      <c r="V6" s="672"/>
      <c r="W6" s="673"/>
    </row>
    <row r="7" spans="1:107" s="30" customFormat="1" x14ac:dyDescent="0.25">
      <c r="A7" s="688" t="s">
        <v>212</v>
      </c>
      <c r="B7" s="688"/>
      <c r="C7" s="693" t="s">
        <v>677</v>
      </c>
      <c r="D7" s="694"/>
      <c r="E7" s="694"/>
      <c r="F7" s="694"/>
      <c r="G7" s="694"/>
      <c r="H7" s="694"/>
      <c r="I7" s="694"/>
      <c r="J7" s="694"/>
      <c r="K7" s="694"/>
      <c r="L7" s="694"/>
      <c r="M7" s="694"/>
      <c r="N7" s="694"/>
      <c r="O7" s="694"/>
      <c r="P7" s="694"/>
      <c r="Q7" s="694"/>
      <c r="R7" s="694"/>
      <c r="S7" s="694"/>
      <c r="T7" s="694"/>
      <c r="U7" s="694"/>
      <c r="V7" s="694"/>
      <c r="W7" s="695"/>
    </row>
    <row r="8" spans="1:107" s="30" customFormat="1" ht="104.25" customHeight="1" thickBot="1" x14ac:dyDescent="0.3">
      <c r="A8" s="656" t="s">
        <v>213</v>
      </c>
      <c r="B8" s="657"/>
      <c r="C8" s="672" t="s">
        <v>637</v>
      </c>
      <c r="D8" s="672"/>
      <c r="E8" s="672"/>
      <c r="F8" s="672"/>
      <c r="G8" s="672"/>
      <c r="H8" s="672"/>
      <c r="I8" s="672"/>
      <c r="J8" s="672"/>
      <c r="K8" s="672"/>
      <c r="L8" s="672"/>
      <c r="M8" s="672"/>
      <c r="N8" s="672"/>
      <c r="O8" s="672"/>
      <c r="P8" s="672"/>
      <c r="Q8" s="672"/>
      <c r="R8" s="672"/>
      <c r="S8" s="672"/>
      <c r="T8" s="672"/>
      <c r="U8" s="672"/>
      <c r="V8" s="672"/>
      <c r="W8" s="673"/>
    </row>
    <row r="9" spans="1:107" s="286" customFormat="1" ht="15" customHeight="1" x14ac:dyDescent="0.25">
      <c r="A9" s="31"/>
    </row>
    <row r="10" spans="1:107" s="286" customFormat="1" ht="15" customHeight="1" x14ac:dyDescent="0.25">
      <c r="A10" s="31"/>
    </row>
    <row r="11" spans="1:107" s="286" customFormat="1" ht="15.75" customHeight="1" thickBot="1" x14ac:dyDescent="0.3">
      <c r="A11" s="31"/>
    </row>
    <row r="12" spans="1:107" s="32" customFormat="1" ht="28.5" customHeight="1" x14ac:dyDescent="0.25">
      <c r="A12" s="658" t="s">
        <v>432</v>
      </c>
      <c r="B12" s="706" t="s">
        <v>215</v>
      </c>
      <c r="C12" s="679" t="s">
        <v>206</v>
      </c>
      <c r="D12" s="679" t="s">
        <v>25</v>
      </c>
      <c r="E12" s="709" t="s">
        <v>214</v>
      </c>
      <c r="F12" s="712" t="s">
        <v>26</v>
      </c>
      <c r="G12" s="713"/>
      <c r="H12" s="713"/>
      <c r="I12" s="713"/>
      <c r="J12" s="714"/>
      <c r="K12" s="314"/>
      <c r="L12" s="685" t="s">
        <v>493</v>
      </c>
      <c r="M12" s="686"/>
      <c r="N12" s="686"/>
      <c r="O12" s="686"/>
      <c r="P12" s="686"/>
      <c r="Q12" s="686"/>
      <c r="R12" s="686"/>
      <c r="S12" s="686"/>
      <c r="T12" s="686"/>
      <c r="U12" s="686"/>
      <c r="V12" s="686"/>
      <c r="W12" s="687"/>
      <c r="X12" s="722" t="s">
        <v>390</v>
      </c>
      <c r="Y12" s="658" t="s">
        <v>391</v>
      </c>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row>
    <row r="13" spans="1:107" s="32" customFormat="1" x14ac:dyDescent="0.25">
      <c r="A13" s="659"/>
      <c r="B13" s="707"/>
      <c r="C13" s="680"/>
      <c r="D13" s="680"/>
      <c r="E13" s="710"/>
      <c r="F13" s="667" t="s">
        <v>207</v>
      </c>
      <c r="G13" s="670" t="s">
        <v>393</v>
      </c>
      <c r="H13" s="670" t="s">
        <v>209</v>
      </c>
      <c r="I13" s="670" t="s">
        <v>210</v>
      </c>
      <c r="J13" s="716" t="s">
        <v>211</v>
      </c>
      <c r="K13" s="315"/>
      <c r="L13" s="682" t="s">
        <v>208</v>
      </c>
      <c r="M13" s="683"/>
      <c r="N13" s="683"/>
      <c r="O13" s="683"/>
      <c r="P13" s="683"/>
      <c r="Q13" s="683"/>
      <c r="R13" s="683"/>
      <c r="S13" s="683"/>
      <c r="T13" s="683"/>
      <c r="U13" s="683"/>
      <c r="V13" s="683"/>
      <c r="W13" s="684"/>
      <c r="X13" s="723"/>
      <c r="Y13" s="659"/>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row>
    <row r="14" spans="1:107" s="32" customFormat="1" x14ac:dyDescent="0.25">
      <c r="A14" s="659"/>
      <c r="B14" s="707"/>
      <c r="C14" s="680"/>
      <c r="D14" s="680"/>
      <c r="E14" s="710"/>
      <c r="F14" s="668"/>
      <c r="G14" s="671"/>
      <c r="H14" s="671"/>
      <c r="I14" s="671"/>
      <c r="J14" s="717"/>
      <c r="K14" s="316"/>
      <c r="L14" s="682"/>
      <c r="M14" s="683"/>
      <c r="N14" s="683"/>
      <c r="O14" s="683"/>
      <c r="P14" s="683"/>
      <c r="Q14" s="683"/>
      <c r="R14" s="683"/>
      <c r="S14" s="683"/>
      <c r="T14" s="683"/>
      <c r="U14" s="683"/>
      <c r="V14" s="683"/>
      <c r="W14" s="684"/>
      <c r="X14" s="723"/>
      <c r="Y14" s="659"/>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row>
    <row r="15" spans="1:107" s="32" customFormat="1" ht="126" customHeight="1" x14ac:dyDescent="0.25">
      <c r="A15" s="660"/>
      <c r="B15" s="708"/>
      <c r="C15" s="681"/>
      <c r="D15" s="681"/>
      <c r="E15" s="711"/>
      <c r="F15" s="668"/>
      <c r="G15" s="671"/>
      <c r="H15" s="671"/>
      <c r="I15" s="671"/>
      <c r="J15" s="717"/>
      <c r="K15" s="674" t="s">
        <v>600</v>
      </c>
      <c r="L15" s="715" t="s">
        <v>170</v>
      </c>
      <c r="M15" s="665" t="s">
        <v>171</v>
      </c>
      <c r="N15" s="665" t="s">
        <v>172</v>
      </c>
      <c r="O15" s="665" t="s">
        <v>173</v>
      </c>
      <c r="P15" s="665" t="s">
        <v>174</v>
      </c>
      <c r="Q15" s="665" t="s">
        <v>175</v>
      </c>
      <c r="R15" s="665" t="s">
        <v>176</v>
      </c>
      <c r="S15" s="665" t="s">
        <v>177</v>
      </c>
      <c r="T15" s="665" t="s">
        <v>178</v>
      </c>
      <c r="U15" s="665" t="s">
        <v>179</v>
      </c>
      <c r="V15" s="665" t="s">
        <v>180</v>
      </c>
      <c r="W15" s="696" t="s">
        <v>181</v>
      </c>
      <c r="X15" s="723"/>
      <c r="Y15" s="659"/>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row>
    <row r="16" spans="1:107" s="37" customFormat="1" ht="57" customHeight="1" thickBot="1" x14ac:dyDescent="0.3">
      <c r="A16" s="661" t="s">
        <v>216</v>
      </c>
      <c r="B16" s="661"/>
      <c r="C16" s="661"/>
      <c r="D16" s="661"/>
      <c r="E16" s="661"/>
      <c r="F16" s="669"/>
      <c r="G16" s="671"/>
      <c r="H16" s="671"/>
      <c r="I16" s="671"/>
      <c r="J16" s="717"/>
      <c r="K16" s="675"/>
      <c r="L16" s="675"/>
      <c r="M16" s="666"/>
      <c r="N16" s="666"/>
      <c r="O16" s="666"/>
      <c r="P16" s="666"/>
      <c r="Q16" s="666"/>
      <c r="R16" s="666"/>
      <c r="S16" s="666"/>
      <c r="T16" s="666"/>
      <c r="U16" s="666"/>
      <c r="V16" s="666"/>
      <c r="W16" s="697"/>
      <c r="X16" s="724"/>
      <c r="Y16" s="725"/>
    </row>
    <row r="17" spans="1:25" s="37" customFormat="1" ht="204.75" customHeight="1" x14ac:dyDescent="0.25">
      <c r="A17" s="393">
        <v>1</v>
      </c>
      <c r="B17" s="401" t="s">
        <v>356</v>
      </c>
      <c r="C17" s="402" t="s">
        <v>423</v>
      </c>
      <c r="D17" s="402" t="s">
        <v>375</v>
      </c>
      <c r="E17" s="446" t="s">
        <v>621</v>
      </c>
      <c r="F17" s="413" t="s">
        <v>359</v>
      </c>
      <c r="G17" s="414" t="s">
        <v>359</v>
      </c>
      <c r="H17" s="414" t="s">
        <v>359</v>
      </c>
      <c r="I17" s="414" t="s">
        <v>359</v>
      </c>
      <c r="J17" s="415" t="s">
        <v>359</v>
      </c>
      <c r="K17" s="411"/>
      <c r="L17" s="407"/>
      <c r="M17" s="445"/>
      <c r="N17" s="448"/>
      <c r="O17" s="408"/>
      <c r="P17" s="442"/>
      <c r="Q17" s="408"/>
      <c r="R17" s="408"/>
      <c r="S17" s="408"/>
      <c r="T17" s="408"/>
      <c r="U17" s="408"/>
      <c r="V17" s="408"/>
      <c r="W17" s="409"/>
      <c r="X17" s="454" t="s">
        <v>693</v>
      </c>
      <c r="Y17" s="501" t="s">
        <v>694</v>
      </c>
    </row>
    <row r="18" spans="1:25" s="37" customFormat="1" ht="88.5" customHeight="1" x14ac:dyDescent="0.25">
      <c r="A18" s="396">
        <v>2</v>
      </c>
      <c r="B18" s="349" t="s">
        <v>357</v>
      </c>
      <c r="C18" s="261" t="s">
        <v>384</v>
      </c>
      <c r="D18" s="261" t="s">
        <v>375</v>
      </c>
      <c r="E18" s="446" t="s">
        <v>621</v>
      </c>
      <c r="F18" s="262" t="s">
        <v>359</v>
      </c>
      <c r="G18" s="263" t="s">
        <v>359</v>
      </c>
      <c r="H18" s="263" t="s">
        <v>359</v>
      </c>
      <c r="I18" s="263" t="s">
        <v>359</v>
      </c>
      <c r="J18" s="281" t="s">
        <v>359</v>
      </c>
      <c r="K18" s="320"/>
      <c r="L18" s="367"/>
      <c r="M18" s="362"/>
      <c r="N18" s="442"/>
      <c r="O18" s="265"/>
      <c r="P18" s="442"/>
      <c r="Q18" s="265"/>
      <c r="R18" s="265"/>
      <c r="S18" s="265"/>
      <c r="T18" s="319"/>
      <c r="U18" s="265"/>
      <c r="V18" s="319"/>
      <c r="W18" s="266"/>
      <c r="X18" s="454" t="s">
        <v>695</v>
      </c>
      <c r="Y18" s="455" t="s">
        <v>645</v>
      </c>
    </row>
    <row r="19" spans="1:25" s="37" customFormat="1" ht="45" customHeight="1" x14ac:dyDescent="0.25">
      <c r="A19" s="396">
        <v>3</v>
      </c>
      <c r="B19" s="349" t="s">
        <v>578</v>
      </c>
      <c r="C19" s="283" t="s">
        <v>546</v>
      </c>
      <c r="D19" s="283" t="s">
        <v>616</v>
      </c>
      <c r="E19" s="447" t="s">
        <v>583</v>
      </c>
      <c r="F19" s="262" t="s">
        <v>359</v>
      </c>
      <c r="G19" s="263"/>
      <c r="H19" s="263"/>
      <c r="I19" s="263"/>
      <c r="J19" s="281"/>
      <c r="K19" s="345"/>
      <c r="L19" s="268"/>
      <c r="M19" s="265"/>
      <c r="N19" s="265"/>
      <c r="O19" s="265"/>
      <c r="P19" s="265"/>
      <c r="Q19" s="265"/>
      <c r="R19" s="265"/>
      <c r="S19" s="265"/>
      <c r="T19" s="265"/>
      <c r="U19" s="319"/>
      <c r="V19" s="265"/>
      <c r="W19" s="266"/>
      <c r="X19" s="290"/>
      <c r="Y19" s="291"/>
    </row>
    <row r="20" spans="1:25" s="37" customFormat="1" ht="46.5" customHeight="1" x14ac:dyDescent="0.25">
      <c r="A20" s="396">
        <v>4</v>
      </c>
      <c r="B20" s="349" t="s">
        <v>515</v>
      </c>
      <c r="C20" s="283" t="s">
        <v>437</v>
      </c>
      <c r="D20" s="283" t="s">
        <v>547</v>
      </c>
      <c r="E20" s="447" t="s">
        <v>652</v>
      </c>
      <c r="F20" s="262" t="s">
        <v>359</v>
      </c>
      <c r="G20" s="263"/>
      <c r="H20" s="263"/>
      <c r="I20" s="263"/>
      <c r="J20" s="281"/>
      <c r="K20" s="345"/>
      <c r="L20" s="268"/>
      <c r="M20" s="265"/>
      <c r="N20" s="265"/>
      <c r="O20" s="265"/>
      <c r="P20" s="265"/>
      <c r="Q20" s="265"/>
      <c r="R20" s="319"/>
      <c r="S20" s="265"/>
      <c r="T20" s="265"/>
      <c r="U20" s="265"/>
      <c r="V20" s="265"/>
      <c r="W20" s="266"/>
      <c r="X20" s="290"/>
      <c r="Y20" s="291"/>
    </row>
    <row r="21" spans="1:25" s="37" customFormat="1" ht="46.5" customHeight="1" x14ac:dyDescent="0.25">
      <c r="A21" s="396">
        <v>5</v>
      </c>
      <c r="B21" s="349" t="s">
        <v>548</v>
      </c>
      <c r="C21" s="283" t="s">
        <v>437</v>
      </c>
      <c r="D21" s="283" t="s">
        <v>685</v>
      </c>
      <c r="E21" s="447" t="s">
        <v>582</v>
      </c>
      <c r="F21" s="262" t="s">
        <v>359</v>
      </c>
      <c r="G21" s="263"/>
      <c r="H21" s="263"/>
      <c r="I21" s="263"/>
      <c r="J21" s="281"/>
      <c r="K21" s="345"/>
      <c r="L21" s="268"/>
      <c r="M21" s="265"/>
      <c r="N21" s="265"/>
      <c r="O21" s="265"/>
      <c r="P21" s="265"/>
      <c r="Q21" s="364"/>
      <c r="R21" s="319"/>
      <c r="S21" s="265"/>
      <c r="T21" s="265"/>
      <c r="U21" s="265"/>
      <c r="V21" s="265"/>
      <c r="W21" s="266"/>
      <c r="X21" s="502" t="s">
        <v>726</v>
      </c>
      <c r="Y21" s="511"/>
    </row>
    <row r="22" spans="1:25" s="37" customFormat="1" ht="143.25" customHeight="1" x14ac:dyDescent="0.25">
      <c r="A22" s="396">
        <v>6</v>
      </c>
      <c r="B22" s="349" t="s">
        <v>539</v>
      </c>
      <c r="C22" s="283" t="s">
        <v>543</v>
      </c>
      <c r="D22" s="283" t="s">
        <v>549</v>
      </c>
      <c r="E22" s="447" t="s">
        <v>631</v>
      </c>
      <c r="F22" s="262" t="s">
        <v>359</v>
      </c>
      <c r="G22" s="263"/>
      <c r="H22" s="263"/>
      <c r="I22" s="263"/>
      <c r="J22" s="281"/>
      <c r="K22" s="345"/>
      <c r="L22" s="268"/>
      <c r="M22" s="265"/>
      <c r="N22" s="265"/>
      <c r="O22" s="265"/>
      <c r="P22" s="442"/>
      <c r="Q22" s="364"/>
      <c r="R22" s="319"/>
      <c r="S22" s="265"/>
      <c r="T22" s="265"/>
      <c r="U22" s="265"/>
      <c r="V22" s="265"/>
      <c r="W22" s="266"/>
      <c r="X22" s="502" t="s">
        <v>721</v>
      </c>
      <c r="Y22" s="455" t="s">
        <v>665</v>
      </c>
    </row>
    <row r="23" spans="1:25" s="37" customFormat="1" ht="143.25" customHeight="1" x14ac:dyDescent="0.25">
      <c r="A23" s="416">
        <v>7</v>
      </c>
      <c r="B23" s="349" t="s">
        <v>541</v>
      </c>
      <c r="C23" s="283" t="s">
        <v>542</v>
      </c>
      <c r="D23" s="283" t="s">
        <v>549</v>
      </c>
      <c r="E23" s="447" t="s">
        <v>584</v>
      </c>
      <c r="F23" s="262" t="s">
        <v>359</v>
      </c>
      <c r="G23" s="263"/>
      <c r="H23" s="263"/>
      <c r="I23" s="263"/>
      <c r="J23" s="281"/>
      <c r="K23" s="345"/>
      <c r="L23" s="268"/>
      <c r="M23" s="265"/>
      <c r="N23" s="265"/>
      <c r="O23" s="265"/>
      <c r="P23" s="265"/>
      <c r="Q23" s="265"/>
      <c r="R23" s="319"/>
      <c r="S23" s="319"/>
      <c r="T23" s="265"/>
      <c r="U23" s="265"/>
      <c r="V23" s="265"/>
      <c r="W23" s="266"/>
      <c r="X23" s="457"/>
      <c r="Y23" s="454" t="s">
        <v>688</v>
      </c>
    </row>
    <row r="24" spans="1:25" s="37" customFormat="1" ht="120" customHeight="1" x14ac:dyDescent="0.25">
      <c r="A24" s="396">
        <v>8</v>
      </c>
      <c r="B24" s="350" t="s">
        <v>540</v>
      </c>
      <c r="C24" s="283" t="s">
        <v>542</v>
      </c>
      <c r="D24" s="283" t="s">
        <v>549</v>
      </c>
      <c r="E24" s="447" t="s">
        <v>585</v>
      </c>
      <c r="F24" s="269" t="s">
        <v>359</v>
      </c>
      <c r="G24" s="270"/>
      <c r="H24" s="270"/>
      <c r="I24" s="270"/>
      <c r="J24" s="351"/>
      <c r="K24" s="345"/>
      <c r="L24" s="272"/>
      <c r="M24" s="273"/>
      <c r="N24" s="265"/>
      <c r="O24" s="442"/>
      <c r="P24" s="442"/>
      <c r="Q24" s="364"/>
      <c r="R24" s="265"/>
      <c r="S24" s="265"/>
      <c r="T24" s="265"/>
      <c r="U24" s="265"/>
      <c r="V24" s="265"/>
      <c r="W24" s="266"/>
      <c r="X24" s="290"/>
      <c r="Y24" s="456" t="s">
        <v>702</v>
      </c>
    </row>
    <row r="25" spans="1:25" s="37" customFormat="1" ht="49.5" customHeight="1" x14ac:dyDescent="0.25">
      <c r="A25" s="396">
        <v>9</v>
      </c>
      <c r="B25" s="479" t="s">
        <v>544</v>
      </c>
      <c r="C25" s="283" t="s">
        <v>437</v>
      </c>
      <c r="D25" s="261" t="s">
        <v>550</v>
      </c>
      <c r="E25" s="447" t="s">
        <v>618</v>
      </c>
      <c r="F25" s="269" t="s">
        <v>359</v>
      </c>
      <c r="G25" s="270"/>
      <c r="H25" s="270"/>
      <c r="I25" s="270"/>
      <c r="J25" s="351"/>
      <c r="K25" s="345"/>
      <c r="L25" s="355"/>
      <c r="M25" s="356"/>
      <c r="N25" s="442"/>
      <c r="O25" s="442"/>
      <c r="P25" s="265"/>
      <c r="Q25" s="265"/>
      <c r="R25" s="265"/>
      <c r="S25" s="265"/>
      <c r="T25" s="265"/>
      <c r="U25" s="265"/>
      <c r="V25" s="265"/>
      <c r="W25" s="266"/>
      <c r="X25" s="509" t="s">
        <v>727</v>
      </c>
      <c r="Y25" s="511"/>
    </row>
    <row r="26" spans="1:25" s="37" customFormat="1" ht="108" customHeight="1" x14ac:dyDescent="0.25">
      <c r="A26" s="416">
        <v>10</v>
      </c>
      <c r="B26" s="479" t="s">
        <v>572</v>
      </c>
      <c r="C26" s="283" t="s">
        <v>437</v>
      </c>
      <c r="D26" s="261" t="s">
        <v>550</v>
      </c>
      <c r="E26" s="447" t="s">
        <v>653</v>
      </c>
      <c r="F26" s="269" t="s">
        <v>359</v>
      </c>
      <c r="G26" s="270"/>
      <c r="H26" s="270"/>
      <c r="I26" s="270"/>
      <c r="J26" s="351"/>
      <c r="K26" s="345"/>
      <c r="L26" s="272"/>
      <c r="M26" s="356"/>
      <c r="N26" s="380"/>
      <c r="O26" s="444"/>
      <c r="P26" s="443"/>
      <c r="Q26" s="265"/>
      <c r="R26" s="265"/>
      <c r="S26" s="265"/>
      <c r="T26" s="265"/>
      <c r="U26" s="265"/>
      <c r="V26" s="265"/>
      <c r="W26" s="266"/>
      <c r="X26" s="512"/>
      <c r="Y26" s="456" t="s">
        <v>729</v>
      </c>
    </row>
    <row r="27" spans="1:25" s="37" customFormat="1" ht="46.5" customHeight="1" x14ac:dyDescent="0.25">
      <c r="A27" s="396">
        <v>11</v>
      </c>
      <c r="B27" s="350" t="s">
        <v>573</v>
      </c>
      <c r="C27" s="283" t="s">
        <v>437</v>
      </c>
      <c r="D27" s="261" t="s">
        <v>550</v>
      </c>
      <c r="E27" s="447" t="s">
        <v>622</v>
      </c>
      <c r="F27" s="269" t="s">
        <v>359</v>
      </c>
      <c r="G27" s="270"/>
      <c r="H27" s="270"/>
      <c r="I27" s="270"/>
      <c r="J27" s="351"/>
      <c r="K27" s="345"/>
      <c r="L27" s="272"/>
      <c r="M27" s="356"/>
      <c r="N27" s="273"/>
      <c r="O27" s="265"/>
      <c r="P27" s="265"/>
      <c r="Q27" s="265"/>
      <c r="R27" s="265"/>
      <c r="S27" s="319"/>
      <c r="T27" s="319"/>
      <c r="U27" s="265"/>
      <c r="V27" s="265"/>
      <c r="W27" s="266"/>
      <c r="X27" s="290"/>
      <c r="Y27" s="291" t="s">
        <v>666</v>
      </c>
    </row>
    <row r="28" spans="1:25" s="37" customFormat="1" ht="78.75" customHeight="1" x14ac:dyDescent="0.25">
      <c r="A28" s="396">
        <v>12</v>
      </c>
      <c r="B28" s="479" t="s">
        <v>574</v>
      </c>
      <c r="C28" s="304" t="s">
        <v>437</v>
      </c>
      <c r="D28" s="261" t="s">
        <v>551</v>
      </c>
      <c r="E28" s="447" t="s">
        <v>667</v>
      </c>
      <c r="F28" s="269" t="s">
        <v>359</v>
      </c>
      <c r="G28" s="270"/>
      <c r="H28" s="270"/>
      <c r="I28" s="270"/>
      <c r="J28" s="351"/>
      <c r="K28" s="345"/>
      <c r="L28" s="272"/>
      <c r="M28" s="273"/>
      <c r="N28" s="273"/>
      <c r="O28" s="273"/>
      <c r="P28" s="265"/>
      <c r="Q28" s="265"/>
      <c r="R28" s="319"/>
      <c r="S28" s="319"/>
      <c r="T28" s="265"/>
      <c r="U28" s="319"/>
      <c r="V28" s="319"/>
      <c r="W28" s="266"/>
      <c r="X28" s="290"/>
      <c r="Y28" s="291"/>
    </row>
    <row r="29" spans="1:25" s="37" customFormat="1" ht="93" customHeight="1" x14ac:dyDescent="0.25">
      <c r="A29" s="396">
        <v>13</v>
      </c>
      <c r="B29" s="479" t="s">
        <v>545</v>
      </c>
      <c r="C29" s="498" t="s">
        <v>437</v>
      </c>
      <c r="D29" s="497" t="s">
        <v>552</v>
      </c>
      <c r="E29" s="503" t="s">
        <v>654</v>
      </c>
      <c r="F29" s="269" t="s">
        <v>359</v>
      </c>
      <c r="G29" s="270"/>
      <c r="H29" s="270"/>
      <c r="I29" s="270"/>
      <c r="J29" s="351"/>
      <c r="K29" s="345"/>
      <c r="L29" s="272"/>
      <c r="M29" s="273"/>
      <c r="N29" s="356"/>
      <c r="O29" s="265"/>
      <c r="P29" s="265"/>
      <c r="Q29" s="364"/>
      <c r="R29" s="319"/>
      <c r="S29" s="319"/>
      <c r="T29" s="265"/>
      <c r="U29" s="265"/>
      <c r="V29" s="265"/>
      <c r="W29" s="266"/>
      <c r="X29" s="458"/>
      <c r="Y29" s="456" t="s">
        <v>708</v>
      </c>
    </row>
    <row r="30" spans="1:25" s="37" customFormat="1" ht="90.75" customHeight="1" x14ac:dyDescent="0.25">
      <c r="A30" s="396">
        <v>14</v>
      </c>
      <c r="B30" s="479" t="s">
        <v>553</v>
      </c>
      <c r="C30" s="283" t="s">
        <v>437</v>
      </c>
      <c r="D30" s="261" t="s">
        <v>554</v>
      </c>
      <c r="E30" s="503" t="s">
        <v>668</v>
      </c>
      <c r="F30" s="269" t="s">
        <v>359</v>
      </c>
      <c r="G30" s="270"/>
      <c r="H30" s="270"/>
      <c r="I30" s="270"/>
      <c r="J30" s="351"/>
      <c r="K30" s="345"/>
      <c r="L30" s="272"/>
      <c r="M30" s="273"/>
      <c r="N30" s="273"/>
      <c r="O30" s="273"/>
      <c r="P30" s="265"/>
      <c r="Q30" s="364"/>
      <c r="R30" s="319"/>
      <c r="S30" s="319"/>
      <c r="T30" s="265"/>
      <c r="U30" s="265"/>
      <c r="V30" s="265"/>
      <c r="W30" s="266"/>
      <c r="X30" s="290"/>
      <c r="Y30" s="291"/>
    </row>
    <row r="31" spans="1:25" s="37" customFormat="1" ht="73.5" customHeight="1" x14ac:dyDescent="0.25">
      <c r="A31" s="416">
        <v>16</v>
      </c>
      <c r="B31" s="479" t="s">
        <v>557</v>
      </c>
      <c r="C31" s="283" t="s">
        <v>437</v>
      </c>
      <c r="D31" s="261" t="s">
        <v>556</v>
      </c>
      <c r="E31" s="503" t="s">
        <v>584</v>
      </c>
      <c r="F31" s="269" t="s">
        <v>359</v>
      </c>
      <c r="G31" s="270"/>
      <c r="H31" s="270"/>
      <c r="I31" s="270"/>
      <c r="J31" s="351"/>
      <c r="K31" s="345"/>
      <c r="L31" s="272"/>
      <c r="M31" s="440"/>
      <c r="N31" s="440"/>
      <c r="O31" s="273"/>
      <c r="P31" s="265"/>
      <c r="Q31" s="364"/>
      <c r="R31" s="265"/>
      <c r="S31" s="265"/>
      <c r="T31" s="265"/>
      <c r="U31" s="319"/>
      <c r="V31" s="265"/>
      <c r="W31" s="266"/>
      <c r="X31" s="454" t="s">
        <v>641</v>
      </c>
      <c r="Y31" s="456" t="s">
        <v>689</v>
      </c>
    </row>
    <row r="32" spans="1:25" s="37" customFormat="1" ht="46.9" customHeight="1" x14ac:dyDescent="0.25">
      <c r="A32" s="396">
        <v>17</v>
      </c>
      <c r="B32" s="479" t="s">
        <v>679</v>
      </c>
      <c r="C32" s="498" t="s">
        <v>437</v>
      </c>
      <c r="D32" s="497" t="s">
        <v>552</v>
      </c>
      <c r="E32" s="503" t="s">
        <v>683</v>
      </c>
      <c r="F32" s="269" t="s">
        <v>359</v>
      </c>
      <c r="G32" s="270"/>
      <c r="H32" s="270"/>
      <c r="I32" s="270"/>
      <c r="J32" s="351"/>
      <c r="K32" s="345"/>
      <c r="L32" s="272"/>
      <c r="M32" s="273"/>
      <c r="N32" s="273"/>
      <c r="O32" s="265"/>
      <c r="P32" s="265"/>
      <c r="Q32" s="265"/>
      <c r="R32" s="319"/>
      <c r="S32" s="319"/>
      <c r="T32" s="319"/>
      <c r="U32" s="265"/>
      <c r="V32" s="265"/>
      <c r="W32" s="266"/>
      <c r="X32" s="290"/>
      <c r="Y32" s="291" t="s">
        <v>655</v>
      </c>
    </row>
    <row r="33" spans="1:25" s="37" customFormat="1" ht="45" customHeight="1" x14ac:dyDescent="0.25">
      <c r="A33" s="396">
        <v>18</v>
      </c>
      <c r="B33" s="357" t="s">
        <v>680</v>
      </c>
      <c r="C33" s="283" t="s">
        <v>437</v>
      </c>
      <c r="D33" s="261" t="s">
        <v>552</v>
      </c>
      <c r="E33" s="503" t="s">
        <v>684</v>
      </c>
      <c r="F33" s="269" t="s">
        <v>359</v>
      </c>
      <c r="G33" s="270"/>
      <c r="H33" s="270"/>
      <c r="I33" s="270"/>
      <c r="J33" s="351"/>
      <c r="K33" s="345"/>
      <c r="L33" s="272"/>
      <c r="M33" s="273"/>
      <c r="N33" s="273"/>
      <c r="O33" s="273"/>
      <c r="P33" s="265"/>
      <c r="Q33" s="265"/>
      <c r="R33" s="265"/>
      <c r="S33" s="265"/>
      <c r="T33" s="265"/>
      <c r="U33" s="319"/>
      <c r="V33" s="319"/>
      <c r="W33" s="319"/>
      <c r="X33" s="290"/>
      <c r="Y33" s="291" t="s">
        <v>655</v>
      </c>
    </row>
    <row r="34" spans="1:25" s="37" customFormat="1" ht="46.5" customHeight="1" x14ac:dyDescent="0.25">
      <c r="A34" s="396">
        <v>19</v>
      </c>
      <c r="B34" s="357" t="s">
        <v>555</v>
      </c>
      <c r="C34" s="283" t="s">
        <v>437</v>
      </c>
      <c r="D34" s="302" t="s">
        <v>558</v>
      </c>
      <c r="E34" s="503" t="s">
        <v>588</v>
      </c>
      <c r="F34" s="269" t="s">
        <v>359</v>
      </c>
      <c r="G34" s="270"/>
      <c r="H34" s="270"/>
      <c r="I34" s="270"/>
      <c r="J34" s="351"/>
      <c r="K34" s="345"/>
      <c r="L34" s="272"/>
      <c r="M34" s="273"/>
      <c r="N34" s="273"/>
      <c r="O34" s="273"/>
      <c r="P34" s="265"/>
      <c r="Q34" s="265"/>
      <c r="R34" s="265"/>
      <c r="S34" s="265"/>
      <c r="T34" s="319"/>
      <c r="U34" s="319"/>
      <c r="V34" s="319"/>
      <c r="W34" s="266"/>
      <c r="X34" s="290"/>
      <c r="Y34" s="291"/>
    </row>
    <row r="35" spans="1:25" s="37" customFormat="1" ht="58.9" customHeight="1" x14ac:dyDescent="0.25">
      <c r="A35" s="396">
        <v>20</v>
      </c>
      <c r="B35" s="357" t="s">
        <v>681</v>
      </c>
      <c r="C35" s="498" t="s">
        <v>437</v>
      </c>
      <c r="D35" s="497" t="s">
        <v>552</v>
      </c>
      <c r="E35" s="503" t="s">
        <v>682</v>
      </c>
      <c r="F35" s="269" t="s">
        <v>359</v>
      </c>
      <c r="G35" s="270"/>
      <c r="H35" s="270"/>
      <c r="I35" s="270"/>
      <c r="J35" s="351"/>
      <c r="K35" s="345"/>
      <c r="L35" s="272"/>
      <c r="M35" s="273"/>
      <c r="N35" s="273"/>
      <c r="O35" s="265"/>
      <c r="P35" s="265"/>
      <c r="Q35" s="265"/>
      <c r="R35" s="265"/>
      <c r="S35" s="319"/>
      <c r="T35" s="319"/>
      <c r="U35" s="265"/>
      <c r="V35" s="265"/>
      <c r="W35" s="265"/>
      <c r="X35" s="290"/>
      <c r="Y35" s="291"/>
    </row>
    <row r="36" spans="1:25" s="37" customFormat="1" ht="78.75" customHeight="1" thickBot="1" x14ac:dyDescent="0.3">
      <c r="A36" s="397">
        <f>+A35+1</f>
        <v>21</v>
      </c>
      <c r="B36" s="399" t="s">
        <v>567</v>
      </c>
      <c r="C36" s="417" t="s">
        <v>437</v>
      </c>
      <c r="D36" s="418" t="s">
        <v>568</v>
      </c>
      <c r="E36" s="452" t="s">
        <v>596</v>
      </c>
      <c r="F36" s="419" t="s">
        <v>359</v>
      </c>
      <c r="G36" s="420"/>
      <c r="H36" s="420"/>
      <c r="I36" s="420"/>
      <c r="J36" s="391"/>
      <c r="K36" s="412"/>
      <c r="L36" s="410"/>
      <c r="M36" s="441"/>
      <c r="N36" s="441"/>
      <c r="O36" s="352"/>
      <c r="P36" s="352"/>
      <c r="Q36" s="352"/>
      <c r="R36" s="352"/>
      <c r="S36" s="352"/>
      <c r="T36" s="352"/>
      <c r="U36" s="352"/>
      <c r="V36" s="352"/>
      <c r="W36" s="383"/>
      <c r="X36" s="457"/>
      <c r="Y36" s="455" t="s">
        <v>617</v>
      </c>
    </row>
    <row r="37" spans="1:25" s="37" customFormat="1" ht="28.5" customHeight="1" thickBot="1" x14ac:dyDescent="0.3">
      <c r="A37" s="676" t="s">
        <v>387</v>
      </c>
      <c r="B37" s="677"/>
      <c r="C37" s="677"/>
      <c r="D37" s="677"/>
      <c r="E37" s="677"/>
      <c r="F37" s="677"/>
      <c r="G37" s="677"/>
      <c r="H37" s="677"/>
      <c r="I37" s="677"/>
      <c r="J37" s="677"/>
      <c r="K37" s="677"/>
      <c r="L37" s="677"/>
      <c r="M37" s="677"/>
      <c r="N37" s="677"/>
      <c r="O37" s="677"/>
      <c r="P37" s="677"/>
      <c r="Q37" s="677"/>
      <c r="R37" s="677"/>
      <c r="S37" s="677"/>
      <c r="T37" s="677"/>
      <c r="U37" s="677"/>
      <c r="V37" s="677"/>
      <c r="W37" s="678"/>
      <c r="X37" s="290"/>
      <c r="Y37" s="291"/>
    </row>
    <row r="38" spans="1:25" s="37" customFormat="1" ht="409.5" customHeight="1" thickBot="1" x14ac:dyDescent="0.3">
      <c r="A38" s="397">
        <f>+A36+1</f>
        <v>22</v>
      </c>
      <c r="B38" s="317" t="s">
        <v>441</v>
      </c>
      <c r="C38" s="317" t="s">
        <v>442</v>
      </c>
      <c r="D38" s="317" t="s">
        <v>443</v>
      </c>
      <c r="E38" s="447" t="s">
        <v>589</v>
      </c>
      <c r="F38" s="358"/>
      <c r="G38" s="359"/>
      <c r="H38" s="359"/>
      <c r="I38" s="359" t="s">
        <v>359</v>
      </c>
      <c r="J38" s="360"/>
      <c r="K38" s="345"/>
      <c r="L38" s="369"/>
      <c r="M38" s="443"/>
      <c r="N38" s="443"/>
      <c r="O38" s="443"/>
      <c r="P38" s="443"/>
      <c r="Q38" s="353"/>
      <c r="R38" s="322"/>
      <c r="S38" s="322"/>
      <c r="T38" s="322"/>
      <c r="U38" s="322"/>
      <c r="V38" s="322"/>
      <c r="W38" s="323"/>
      <c r="X38" s="454" t="s">
        <v>709</v>
      </c>
      <c r="Y38" s="455" t="s">
        <v>710</v>
      </c>
    </row>
    <row r="39" spans="1:25" s="37" customFormat="1" ht="83.25" customHeight="1" x14ac:dyDescent="0.25">
      <c r="A39" s="375">
        <f>+A38+1</f>
        <v>23</v>
      </c>
      <c r="B39" s="280" t="s">
        <v>444</v>
      </c>
      <c r="C39" s="280" t="s">
        <v>442</v>
      </c>
      <c r="D39" s="280" t="s">
        <v>445</v>
      </c>
      <c r="E39" s="447" t="s">
        <v>678</v>
      </c>
      <c r="F39" s="421"/>
      <c r="G39" s="422"/>
      <c r="H39" s="422"/>
      <c r="I39" s="422" t="s">
        <v>359</v>
      </c>
      <c r="J39" s="423"/>
      <c r="K39" s="348"/>
      <c r="L39" s="307"/>
      <c r="M39" s="273"/>
      <c r="N39" s="273"/>
      <c r="O39" s="273"/>
      <c r="P39" s="273"/>
      <c r="Q39" s="273"/>
      <c r="R39" s="476"/>
      <c r="S39" s="476"/>
      <c r="T39" s="380"/>
      <c r="U39" s="380"/>
      <c r="V39" s="380"/>
      <c r="W39" s="377"/>
      <c r="X39" s="505" t="s">
        <v>711</v>
      </c>
      <c r="Y39" s="504" t="s">
        <v>656</v>
      </c>
    </row>
    <row r="40" spans="1:25" s="478" customFormat="1" ht="83.25" customHeight="1" thickBot="1" x14ac:dyDescent="0.3">
      <c r="A40" s="375">
        <f>+A39+1</f>
        <v>24</v>
      </c>
      <c r="B40" s="280" t="s">
        <v>660</v>
      </c>
      <c r="C40" s="280" t="s">
        <v>442</v>
      </c>
      <c r="D40" s="280" t="s">
        <v>661</v>
      </c>
      <c r="E40" s="447" t="s">
        <v>678</v>
      </c>
      <c r="F40" s="422"/>
      <c r="G40" s="422"/>
      <c r="H40" s="422"/>
      <c r="I40" s="422"/>
      <c r="J40" s="422"/>
      <c r="K40" s="493"/>
      <c r="L40" s="273"/>
      <c r="M40" s="273"/>
      <c r="N40" s="273"/>
      <c r="O40" s="273"/>
      <c r="P40" s="273"/>
      <c r="Q40" s="273"/>
      <c r="R40" s="273"/>
      <c r="S40" s="273"/>
      <c r="T40" s="476"/>
      <c r="U40" s="476"/>
      <c r="V40" s="273"/>
      <c r="W40" s="273"/>
      <c r="X40" s="505" t="s">
        <v>711</v>
      </c>
      <c r="Y40" s="291"/>
    </row>
    <row r="41" spans="1:25" s="37" customFormat="1" ht="29.25" thickBot="1" x14ac:dyDescent="0.3">
      <c r="A41" s="662" t="s">
        <v>217</v>
      </c>
      <c r="B41" s="663"/>
      <c r="C41" s="663"/>
      <c r="D41" s="663"/>
      <c r="E41" s="663"/>
      <c r="F41" s="663"/>
      <c r="G41" s="663"/>
      <c r="H41" s="663"/>
      <c r="I41" s="663"/>
      <c r="J41" s="663"/>
      <c r="K41" s="663"/>
      <c r="L41" s="663"/>
      <c r="M41" s="663"/>
      <c r="N41" s="663"/>
      <c r="O41" s="663"/>
      <c r="P41" s="663"/>
      <c r="Q41" s="663"/>
      <c r="R41" s="663"/>
      <c r="S41" s="663"/>
      <c r="T41" s="663"/>
      <c r="U41" s="663"/>
      <c r="V41" s="663"/>
      <c r="W41" s="664"/>
      <c r="X41" s="477"/>
      <c r="Y41" s="406"/>
    </row>
    <row r="42" spans="1:25" s="37" customFormat="1" ht="93" customHeight="1" x14ac:dyDescent="0.25">
      <c r="A42" s="292">
        <f>+A40+1</f>
        <v>25</v>
      </c>
      <c r="B42" s="424" t="s">
        <v>581</v>
      </c>
      <c r="C42" s="406" t="s">
        <v>559</v>
      </c>
      <c r="D42" s="425" t="s">
        <v>516</v>
      </c>
      <c r="E42" s="449" t="s">
        <v>630</v>
      </c>
      <c r="F42" s="426"/>
      <c r="G42" s="427" t="s">
        <v>359</v>
      </c>
      <c r="H42" s="427"/>
      <c r="I42" s="427"/>
      <c r="J42" s="311" t="s">
        <v>359</v>
      </c>
      <c r="K42" s="378"/>
      <c r="L42" s="428"/>
      <c r="M42" s="293"/>
      <c r="N42" s="293"/>
      <c r="O42" s="293"/>
      <c r="P42" s="443"/>
      <c r="Q42" s="293"/>
      <c r="R42" s="293"/>
      <c r="S42" s="293"/>
      <c r="T42" s="322"/>
      <c r="U42" s="293"/>
      <c r="V42" s="293"/>
      <c r="W42" s="308"/>
      <c r="X42" s="454" t="s">
        <v>649</v>
      </c>
      <c r="Y42" s="455"/>
    </row>
    <row r="43" spans="1:25" s="37" customFormat="1" ht="69.75" customHeight="1" x14ac:dyDescent="0.25">
      <c r="A43" s="287">
        <f>+A42+1</f>
        <v>26</v>
      </c>
      <c r="B43" s="361" t="s">
        <v>360</v>
      </c>
      <c r="C43" s="301" t="s">
        <v>416</v>
      </c>
      <c r="D43" s="303" t="s">
        <v>517</v>
      </c>
      <c r="E43" s="447" t="s">
        <v>619</v>
      </c>
      <c r="F43" s="262"/>
      <c r="G43" s="263"/>
      <c r="H43" s="263" t="s">
        <v>359</v>
      </c>
      <c r="I43" s="263"/>
      <c r="J43" s="264" t="s">
        <v>359</v>
      </c>
      <c r="K43" s="345"/>
      <c r="L43" s="276"/>
      <c r="M43" s="265"/>
      <c r="N43" s="279"/>
      <c r="O43" s="492"/>
      <c r="P43" s="442"/>
      <c r="Q43" s="265"/>
      <c r="R43" s="319"/>
      <c r="S43" s="265"/>
      <c r="T43" s="265"/>
      <c r="U43" s="319"/>
      <c r="V43" s="265"/>
      <c r="W43" s="293"/>
      <c r="X43" s="454" t="s">
        <v>698</v>
      </c>
      <c r="Y43" s="291"/>
    </row>
    <row r="44" spans="1:25" s="37" customFormat="1" ht="116.25" customHeight="1" x14ac:dyDescent="0.25">
      <c r="A44" s="287">
        <f t="shared" ref="A44:A71" si="0">+A43+1</f>
        <v>27</v>
      </c>
      <c r="B44" s="302" t="s">
        <v>407</v>
      </c>
      <c r="C44" s="261" t="s">
        <v>408</v>
      </c>
      <c r="D44" s="303" t="s">
        <v>518</v>
      </c>
      <c r="E44" s="447" t="s">
        <v>623</v>
      </c>
      <c r="F44" s="262"/>
      <c r="G44" s="263"/>
      <c r="H44" s="263"/>
      <c r="I44" s="263"/>
      <c r="J44" s="264" t="s">
        <v>359</v>
      </c>
      <c r="K44" s="345"/>
      <c r="L44" s="368"/>
      <c r="M44" s="442"/>
      <c r="N44" s="265"/>
      <c r="O44" s="265"/>
      <c r="P44" s="265"/>
      <c r="Q44" s="265"/>
      <c r="R44" s="265"/>
      <c r="S44" s="265"/>
      <c r="T44" s="265"/>
      <c r="U44" s="265"/>
      <c r="V44" s="265"/>
      <c r="W44" s="266"/>
      <c r="X44" s="454" t="s">
        <v>650</v>
      </c>
      <c r="Y44" s="454"/>
    </row>
    <row r="45" spans="1:25" s="37" customFormat="1" ht="139.5" customHeight="1" x14ac:dyDescent="0.25">
      <c r="A45" s="354">
        <f t="shared" si="0"/>
        <v>28</v>
      </c>
      <c r="B45" s="302" t="s">
        <v>409</v>
      </c>
      <c r="C45" s="261" t="s">
        <v>415</v>
      </c>
      <c r="D45" s="301" t="s">
        <v>519</v>
      </c>
      <c r="E45" s="446" t="s">
        <v>597</v>
      </c>
      <c r="F45" s="262"/>
      <c r="G45" s="263"/>
      <c r="H45" s="263"/>
      <c r="I45" s="263"/>
      <c r="J45" s="264" t="s">
        <v>359</v>
      </c>
      <c r="K45" s="345"/>
      <c r="L45" s="368"/>
      <c r="M45" s="265"/>
      <c r="N45" s="265"/>
      <c r="O45" s="265"/>
      <c r="P45" s="265"/>
      <c r="Q45" s="265"/>
      <c r="R45" s="319"/>
      <c r="S45" s="265"/>
      <c r="T45" s="265"/>
      <c r="U45" s="265"/>
      <c r="V45" s="265"/>
      <c r="W45" s="266"/>
      <c r="X45" s="454" t="s">
        <v>638</v>
      </c>
      <c r="Y45" s="454"/>
    </row>
    <row r="46" spans="1:25" s="37" customFormat="1" ht="46.5" customHeight="1" x14ac:dyDescent="0.25">
      <c r="A46" s="287">
        <f t="shared" si="0"/>
        <v>29</v>
      </c>
      <c r="B46" s="361" t="s">
        <v>361</v>
      </c>
      <c r="C46" s="261" t="s">
        <v>728</v>
      </c>
      <c r="D46" s="301" t="s">
        <v>520</v>
      </c>
      <c r="E46" s="447" t="s">
        <v>582</v>
      </c>
      <c r="F46" s="262"/>
      <c r="G46" s="263"/>
      <c r="H46" s="263"/>
      <c r="I46" s="263"/>
      <c r="J46" s="264" t="s">
        <v>359</v>
      </c>
      <c r="K46" s="345"/>
      <c r="L46" s="276"/>
      <c r="M46" s="362" t="s">
        <v>385</v>
      </c>
      <c r="N46" s="442"/>
      <c r="O46" s="442"/>
      <c r="P46" s="442"/>
      <c r="Q46" s="265"/>
      <c r="R46" s="319"/>
      <c r="S46" s="319"/>
      <c r="T46" s="265"/>
      <c r="U46" s="265"/>
      <c r="V46" s="319"/>
      <c r="W46" s="321"/>
      <c r="X46" s="458"/>
      <c r="Y46" s="502" t="s">
        <v>699</v>
      </c>
    </row>
    <row r="47" spans="1:25" s="37" customFormat="1" ht="69.75" customHeight="1" x14ac:dyDescent="0.25">
      <c r="A47" s="287">
        <f t="shared" si="0"/>
        <v>30</v>
      </c>
      <c r="B47" s="302" t="s">
        <v>439</v>
      </c>
      <c r="C47" s="261" t="s">
        <v>440</v>
      </c>
      <c r="D47" s="301" t="s">
        <v>521</v>
      </c>
      <c r="E47" s="447" t="s">
        <v>590</v>
      </c>
      <c r="F47" s="262"/>
      <c r="G47" s="263"/>
      <c r="H47" s="263"/>
      <c r="I47" s="263"/>
      <c r="J47" s="264" t="s">
        <v>359</v>
      </c>
      <c r="K47" s="345"/>
      <c r="L47" s="268"/>
      <c r="M47" s="366"/>
      <c r="N47" s="265"/>
      <c r="O47" s="265"/>
      <c r="P47" s="265"/>
      <c r="Q47" s="265"/>
      <c r="R47" s="265"/>
      <c r="S47" s="265"/>
      <c r="T47" s="265"/>
      <c r="U47" s="265"/>
      <c r="V47" s="265"/>
      <c r="W47" s="266"/>
      <c r="X47" s="454" t="s">
        <v>639</v>
      </c>
      <c r="Y47" s="454"/>
    </row>
    <row r="48" spans="1:25" s="37" customFormat="1" ht="138.75" customHeight="1" x14ac:dyDescent="0.25">
      <c r="A48" s="287">
        <f t="shared" si="0"/>
        <v>31</v>
      </c>
      <c r="B48" s="302" t="s">
        <v>438</v>
      </c>
      <c r="C48" s="261" t="s">
        <v>417</v>
      </c>
      <c r="D48" s="303" t="s">
        <v>516</v>
      </c>
      <c r="E48" s="447" t="s">
        <v>632</v>
      </c>
      <c r="F48" s="262"/>
      <c r="G48" s="263"/>
      <c r="H48" s="263"/>
      <c r="I48" s="263"/>
      <c r="J48" s="264" t="s">
        <v>359</v>
      </c>
      <c r="K48" s="345"/>
      <c r="L48" s="370"/>
      <c r="M48" s="366"/>
      <c r="N48" s="366"/>
      <c r="O48" s="265"/>
      <c r="P48" s="265"/>
      <c r="Q48" s="265"/>
      <c r="R48" s="319"/>
      <c r="S48" s="265"/>
      <c r="T48" s="265"/>
      <c r="U48" s="319"/>
      <c r="V48" s="265"/>
      <c r="W48" s="266"/>
      <c r="X48" s="454" t="s">
        <v>712</v>
      </c>
      <c r="Y48" s="454" t="s">
        <v>646</v>
      </c>
    </row>
    <row r="49" spans="1:28" s="37" customFormat="1" ht="234.75" customHeight="1" x14ac:dyDescent="0.25">
      <c r="A49" s="287">
        <f t="shared" si="0"/>
        <v>32</v>
      </c>
      <c r="B49" s="361" t="s">
        <v>522</v>
      </c>
      <c r="C49" s="261" t="s">
        <v>418</v>
      </c>
      <c r="D49" s="301" t="s">
        <v>523</v>
      </c>
      <c r="E49" s="447" t="s">
        <v>620</v>
      </c>
      <c r="F49" s="262"/>
      <c r="G49" s="263"/>
      <c r="H49" s="263"/>
      <c r="I49" s="263"/>
      <c r="J49" s="264" t="s">
        <v>359</v>
      </c>
      <c r="K49" s="345"/>
      <c r="L49" s="268"/>
      <c r="M49" s="362"/>
      <c r="N49" s="265"/>
      <c r="O49" s="265"/>
      <c r="P49" s="442"/>
      <c r="Q49" s="364"/>
      <c r="R49" s="265"/>
      <c r="S49" s="265"/>
      <c r="T49" s="265"/>
      <c r="U49" s="265"/>
      <c r="V49" s="319"/>
      <c r="W49" s="319"/>
      <c r="X49" s="457"/>
      <c r="Y49" s="455" t="s">
        <v>690</v>
      </c>
    </row>
    <row r="50" spans="1:28" s="37" customFormat="1" ht="239.25" customHeight="1" x14ac:dyDescent="0.25">
      <c r="A50" s="287">
        <f t="shared" si="0"/>
        <v>33</v>
      </c>
      <c r="B50" s="361" t="s">
        <v>368</v>
      </c>
      <c r="C50" s="301" t="s">
        <v>424</v>
      </c>
      <c r="D50" s="301" t="s">
        <v>376</v>
      </c>
      <c r="E50" s="447" t="s">
        <v>624</v>
      </c>
      <c r="F50" s="262"/>
      <c r="G50" s="263"/>
      <c r="H50" s="263"/>
      <c r="I50" s="263"/>
      <c r="J50" s="264" t="s">
        <v>359</v>
      </c>
      <c r="K50" s="345"/>
      <c r="L50" s="363"/>
      <c r="M50" s="442"/>
      <c r="N50" s="492"/>
      <c r="O50" s="265"/>
      <c r="P50" s="492"/>
      <c r="Q50" s="265"/>
      <c r="R50" s="265"/>
      <c r="S50" s="319"/>
      <c r="T50" s="319"/>
      <c r="U50" s="265"/>
      <c r="V50" s="319"/>
      <c r="W50" s="321"/>
      <c r="X50" s="506" t="s">
        <v>722</v>
      </c>
      <c r="Y50" s="455" t="s">
        <v>657</v>
      </c>
    </row>
    <row r="51" spans="1:28" s="37" customFormat="1" ht="46.5" customHeight="1" x14ac:dyDescent="0.25">
      <c r="A51" s="287">
        <f t="shared" si="0"/>
        <v>34</v>
      </c>
      <c r="B51" s="361" t="s">
        <v>580</v>
      </c>
      <c r="C51" s="261" t="s">
        <v>419</v>
      </c>
      <c r="D51" s="301" t="s">
        <v>524</v>
      </c>
      <c r="E51" s="446" t="s">
        <v>633</v>
      </c>
      <c r="F51" s="262"/>
      <c r="G51" s="263"/>
      <c r="H51" s="263"/>
      <c r="I51" s="263"/>
      <c r="J51" s="264" t="s">
        <v>359</v>
      </c>
      <c r="K51" s="345"/>
      <c r="L51" s="268"/>
      <c r="M51" s="362"/>
      <c r="N51" s="492"/>
      <c r="O51" s="492"/>
      <c r="P51" s="492"/>
      <c r="Q51" s="265"/>
      <c r="R51" s="319"/>
      <c r="S51" s="319"/>
      <c r="T51" s="265"/>
      <c r="U51" s="265"/>
      <c r="V51" s="319"/>
      <c r="W51" s="321"/>
      <c r="X51" s="457"/>
      <c r="Y51" s="455" t="s">
        <v>703</v>
      </c>
      <c r="AB51" s="37">
        <f>0.5+0.8+0.6</f>
        <v>1.9</v>
      </c>
    </row>
    <row r="52" spans="1:28" s="37" customFormat="1" ht="164.25" customHeight="1" x14ac:dyDescent="0.25">
      <c r="A52" s="354">
        <f t="shared" si="0"/>
        <v>35</v>
      </c>
      <c r="B52" s="302" t="s">
        <v>362</v>
      </c>
      <c r="C52" s="261" t="s">
        <v>525</v>
      </c>
      <c r="D52" s="301" t="s">
        <v>414</v>
      </c>
      <c r="E52" s="447" t="s">
        <v>584</v>
      </c>
      <c r="F52" s="262"/>
      <c r="G52" s="263"/>
      <c r="H52" s="263"/>
      <c r="I52" s="263"/>
      <c r="J52" s="264" t="s">
        <v>359</v>
      </c>
      <c r="K52" s="345"/>
      <c r="L52" s="268"/>
      <c r="M52" s="442"/>
      <c r="N52" s="442"/>
      <c r="O52" s="265"/>
      <c r="P52" s="265"/>
      <c r="Q52" s="265"/>
      <c r="R52" s="265"/>
      <c r="S52" s="265"/>
      <c r="T52" s="265"/>
      <c r="U52" s="265"/>
      <c r="V52" s="265"/>
      <c r="W52" s="266"/>
      <c r="X52" s="454" t="s">
        <v>642</v>
      </c>
      <c r="Y52" s="456" t="s">
        <v>691</v>
      </c>
    </row>
    <row r="53" spans="1:28" s="37" customFormat="1" ht="144.75" customHeight="1" x14ac:dyDescent="0.25">
      <c r="A53" s="287">
        <f t="shared" si="0"/>
        <v>36</v>
      </c>
      <c r="B53" s="302" t="s">
        <v>526</v>
      </c>
      <c r="C53" s="261" t="s">
        <v>420</v>
      </c>
      <c r="D53" s="301" t="s">
        <v>377</v>
      </c>
      <c r="E53" s="447" t="s">
        <v>592</v>
      </c>
      <c r="F53" s="262"/>
      <c r="G53" s="263"/>
      <c r="H53" s="263"/>
      <c r="I53" s="263"/>
      <c r="J53" s="264" t="s">
        <v>359</v>
      </c>
      <c r="K53" s="345"/>
      <c r="L53" s="371"/>
      <c r="M53" s="442"/>
      <c r="N53" s="265"/>
      <c r="O53" s="265"/>
      <c r="P53" s="265"/>
      <c r="Q53" s="265"/>
      <c r="R53" s="265"/>
      <c r="S53" s="265"/>
      <c r="T53" s="265"/>
      <c r="U53" s="265"/>
      <c r="V53" s="319"/>
      <c r="W53" s="321"/>
      <c r="X53" s="454" t="s">
        <v>713</v>
      </c>
      <c r="Y53" s="455" t="s">
        <v>714</v>
      </c>
    </row>
    <row r="54" spans="1:28" s="37" customFormat="1" ht="46.5" customHeight="1" x14ac:dyDescent="0.25">
      <c r="A54" s="287">
        <f t="shared" si="0"/>
        <v>37</v>
      </c>
      <c r="B54" s="302" t="s">
        <v>363</v>
      </c>
      <c r="C54" s="261" t="s">
        <v>421</v>
      </c>
      <c r="D54" s="301" t="s">
        <v>378</v>
      </c>
      <c r="E54" s="365" t="s">
        <v>669</v>
      </c>
      <c r="F54" s="262"/>
      <c r="G54" s="263"/>
      <c r="H54" s="263"/>
      <c r="I54" s="263"/>
      <c r="J54" s="264" t="s">
        <v>359</v>
      </c>
      <c r="K54" s="345"/>
      <c r="L54" s="371"/>
      <c r="M54" s="442"/>
      <c r="N54" s="265"/>
      <c r="O54" s="442"/>
      <c r="P54" s="442"/>
      <c r="Q54" s="265"/>
      <c r="R54" s="319"/>
      <c r="S54" s="265"/>
      <c r="T54" s="265"/>
      <c r="U54" s="319"/>
      <c r="V54" s="265"/>
      <c r="W54" s="265"/>
      <c r="X54" s="454" t="s">
        <v>647</v>
      </c>
      <c r="Y54" s="454" t="s">
        <v>658</v>
      </c>
    </row>
    <row r="55" spans="1:28" s="37" customFormat="1" ht="146.25" customHeight="1" x14ac:dyDescent="0.25">
      <c r="A55" s="287">
        <f t="shared" si="0"/>
        <v>38</v>
      </c>
      <c r="B55" s="361" t="s">
        <v>364</v>
      </c>
      <c r="C55" s="261" t="s">
        <v>355</v>
      </c>
      <c r="D55" s="303" t="s">
        <v>370</v>
      </c>
      <c r="E55" s="446" t="s">
        <v>670</v>
      </c>
      <c r="F55" s="262"/>
      <c r="G55" s="263"/>
      <c r="H55" s="263"/>
      <c r="I55" s="263"/>
      <c r="J55" s="264" t="s">
        <v>359</v>
      </c>
      <c r="K55" s="345"/>
      <c r="L55" s="371"/>
      <c r="M55" s="442" t="s">
        <v>385</v>
      </c>
      <c r="N55" s="442"/>
      <c r="O55" s="265"/>
      <c r="P55" s="442"/>
      <c r="Q55" s="442"/>
      <c r="R55" s="265"/>
      <c r="S55" s="265"/>
      <c r="T55" s="319"/>
      <c r="U55" s="319"/>
      <c r="V55" s="265"/>
      <c r="W55" s="266"/>
      <c r="X55" s="718" t="s">
        <v>704</v>
      </c>
      <c r="Y55" s="720" t="s">
        <v>705</v>
      </c>
    </row>
    <row r="56" spans="1:28" s="37" customFormat="1" ht="142.5" customHeight="1" x14ac:dyDescent="0.25">
      <c r="A56" s="287">
        <f t="shared" si="0"/>
        <v>39</v>
      </c>
      <c r="B56" s="361" t="s">
        <v>365</v>
      </c>
      <c r="C56" s="261" t="s">
        <v>373</v>
      </c>
      <c r="D56" s="301" t="s">
        <v>375</v>
      </c>
      <c r="E56" s="446" t="s">
        <v>670</v>
      </c>
      <c r="F56" s="262"/>
      <c r="G56" s="263"/>
      <c r="H56" s="263"/>
      <c r="I56" s="263"/>
      <c r="J56" s="264" t="s">
        <v>359</v>
      </c>
      <c r="K56" s="345"/>
      <c r="L56" s="371"/>
      <c r="M56" s="442"/>
      <c r="N56" s="442"/>
      <c r="O56" s="265"/>
      <c r="P56" s="442"/>
      <c r="Q56" s="442"/>
      <c r="R56" s="265"/>
      <c r="S56" s="265"/>
      <c r="T56" s="319"/>
      <c r="U56" s="319"/>
      <c r="V56" s="265"/>
      <c r="W56" s="266"/>
      <c r="X56" s="719"/>
      <c r="Y56" s="721"/>
    </row>
    <row r="57" spans="1:28" s="37" customFormat="1" ht="52.5" customHeight="1" x14ac:dyDescent="0.25">
      <c r="A57" s="287">
        <f t="shared" si="0"/>
        <v>40</v>
      </c>
      <c r="B57" s="302" t="s">
        <v>430</v>
      </c>
      <c r="C57" s="261" t="s">
        <v>422</v>
      </c>
      <c r="D57" s="301" t="s">
        <v>389</v>
      </c>
      <c r="E57" s="446" t="s">
        <v>671</v>
      </c>
      <c r="F57" s="262"/>
      <c r="G57" s="263"/>
      <c r="H57" s="263"/>
      <c r="I57" s="263"/>
      <c r="J57" s="264" t="s">
        <v>359</v>
      </c>
      <c r="K57" s="345"/>
      <c r="L57" s="268"/>
      <c r="M57" s="265"/>
      <c r="N57" s="265" t="s">
        <v>385</v>
      </c>
      <c r="O57" s="442"/>
      <c r="P57" s="442"/>
      <c r="Q57" s="265"/>
      <c r="R57" s="265"/>
      <c r="S57" s="265"/>
      <c r="T57" s="265"/>
      <c r="U57" s="265"/>
      <c r="V57" s="319"/>
      <c r="W57" s="266"/>
      <c r="X57" s="499" t="s">
        <v>700</v>
      </c>
      <c r="Y57" s="499" t="s">
        <v>701</v>
      </c>
    </row>
    <row r="58" spans="1:28" s="37" customFormat="1" ht="51" customHeight="1" x14ac:dyDescent="0.25">
      <c r="A58" s="287">
        <f t="shared" si="0"/>
        <v>41</v>
      </c>
      <c r="B58" s="302" t="s">
        <v>562</v>
      </c>
      <c r="C58" s="261" t="s">
        <v>563</v>
      </c>
      <c r="D58" s="301" t="s">
        <v>564</v>
      </c>
      <c r="E58" s="447" t="s">
        <v>591</v>
      </c>
      <c r="F58" s="262"/>
      <c r="G58" s="263"/>
      <c r="H58" s="263"/>
      <c r="I58" s="263"/>
      <c r="J58" s="264" t="s">
        <v>359</v>
      </c>
      <c r="K58" s="345"/>
      <c r="L58" s="268"/>
      <c r="M58" s="265"/>
      <c r="N58" s="265"/>
      <c r="O58" s="265"/>
      <c r="P58" s="265"/>
      <c r="Q58" s="265"/>
      <c r="R58" s="265"/>
      <c r="S58" s="318"/>
      <c r="T58" s="319"/>
      <c r="U58" s="319"/>
      <c r="V58" s="265"/>
      <c r="W58" s="266"/>
      <c r="X58" s="290"/>
      <c r="Y58" s="291"/>
    </row>
    <row r="59" spans="1:28" s="37" customFormat="1" ht="54.6" customHeight="1" x14ac:dyDescent="0.25">
      <c r="A59" s="287">
        <f t="shared" si="0"/>
        <v>42</v>
      </c>
      <c r="B59" s="361" t="s">
        <v>352</v>
      </c>
      <c r="C59" s="261" t="s">
        <v>379</v>
      </c>
      <c r="D59" s="301" t="s">
        <v>380</v>
      </c>
      <c r="E59" s="447" t="s">
        <v>586</v>
      </c>
      <c r="F59" s="262"/>
      <c r="G59" s="263"/>
      <c r="H59" s="263"/>
      <c r="I59" s="263"/>
      <c r="J59" s="264" t="s">
        <v>359</v>
      </c>
      <c r="K59" s="345"/>
      <c r="L59" s="268"/>
      <c r="M59" s="265"/>
      <c r="N59" s="442"/>
      <c r="O59" s="265"/>
      <c r="P59" s="265"/>
      <c r="Q59" s="265"/>
      <c r="R59" s="265"/>
      <c r="S59" s="265"/>
      <c r="T59" s="265"/>
      <c r="U59" s="319"/>
      <c r="V59" s="265"/>
      <c r="W59" s="266"/>
      <c r="X59" s="454" t="s">
        <v>672</v>
      </c>
      <c r="Y59" s="455"/>
    </row>
    <row r="60" spans="1:28" s="37" customFormat="1" ht="84" customHeight="1" x14ac:dyDescent="0.25">
      <c r="A60" s="287">
        <f t="shared" si="0"/>
        <v>43</v>
      </c>
      <c r="B60" s="302" t="s">
        <v>538</v>
      </c>
      <c r="C60" s="301" t="s">
        <v>425</v>
      </c>
      <c r="D60" s="301" t="s">
        <v>527</v>
      </c>
      <c r="E60" s="446" t="s">
        <v>673</v>
      </c>
      <c r="F60" s="262"/>
      <c r="G60" s="263"/>
      <c r="H60" s="263"/>
      <c r="I60" s="263"/>
      <c r="J60" s="264" t="s">
        <v>359</v>
      </c>
      <c r="K60" s="345"/>
      <c r="L60" s="274"/>
      <c r="M60" s="265"/>
      <c r="N60" s="265"/>
      <c r="O60" s="265"/>
      <c r="P60" s="265"/>
      <c r="Q60" s="364"/>
      <c r="R60" s="265"/>
      <c r="S60" s="265"/>
      <c r="T60" s="265"/>
      <c r="U60" s="265"/>
      <c r="V60" s="265"/>
      <c r="W60" s="321"/>
      <c r="X60" s="505" t="s">
        <v>711</v>
      </c>
      <c r="Y60" s="291"/>
    </row>
    <row r="61" spans="1:28" s="37" customFormat="1" ht="93" customHeight="1" x14ac:dyDescent="0.25">
      <c r="A61" s="354">
        <f t="shared" si="0"/>
        <v>44</v>
      </c>
      <c r="B61" s="302" t="s">
        <v>426</v>
      </c>
      <c r="C61" s="261" t="s">
        <v>528</v>
      </c>
      <c r="D61" s="301" t="s">
        <v>529</v>
      </c>
      <c r="E61" s="447" t="s">
        <v>584</v>
      </c>
      <c r="F61" s="262"/>
      <c r="G61" s="263"/>
      <c r="H61" s="263"/>
      <c r="I61" s="263"/>
      <c r="J61" s="264" t="s">
        <v>359</v>
      </c>
      <c r="K61" s="345"/>
      <c r="L61" s="274"/>
      <c r="M61" s="265"/>
      <c r="N61" s="265"/>
      <c r="O61" s="265"/>
      <c r="P61" s="265"/>
      <c r="Q61" s="364"/>
      <c r="R61" s="265"/>
      <c r="S61" s="265"/>
      <c r="T61" s="319"/>
      <c r="U61" s="265"/>
      <c r="V61" s="265"/>
      <c r="W61" s="266"/>
      <c r="X61" s="457"/>
      <c r="Y61" s="456" t="s">
        <v>692</v>
      </c>
    </row>
    <row r="62" spans="1:28" s="37" customFormat="1" ht="46.5" customHeight="1" x14ac:dyDescent="0.25">
      <c r="A62" s="287">
        <f t="shared" si="0"/>
        <v>45</v>
      </c>
      <c r="B62" s="302" t="s">
        <v>353</v>
      </c>
      <c r="C62" s="261" t="s">
        <v>381</v>
      </c>
      <c r="D62" s="301" t="s">
        <v>530</v>
      </c>
      <c r="E62" s="447" t="s">
        <v>634</v>
      </c>
      <c r="F62" s="275"/>
      <c r="G62" s="267"/>
      <c r="H62" s="267"/>
      <c r="I62" s="267"/>
      <c r="J62" s="264" t="s">
        <v>359</v>
      </c>
      <c r="K62" s="345"/>
      <c r="L62" s="268"/>
      <c r="M62" s="265"/>
      <c r="N62" s="265"/>
      <c r="O62" s="265"/>
      <c r="P62" s="442"/>
      <c r="Q62" s="364"/>
      <c r="R62" s="265"/>
      <c r="S62" s="265"/>
      <c r="T62" s="265"/>
      <c r="U62" s="265"/>
      <c r="V62" s="319"/>
      <c r="W62" s="321"/>
      <c r="X62" s="457" t="s">
        <v>706</v>
      </c>
      <c r="Y62" s="291"/>
    </row>
    <row r="63" spans="1:28" s="37" customFormat="1" ht="46.9" customHeight="1" x14ac:dyDescent="0.25">
      <c r="A63" s="287">
        <f t="shared" si="0"/>
        <v>46</v>
      </c>
      <c r="B63" s="480" t="s">
        <v>367</v>
      </c>
      <c r="C63" s="261" t="s">
        <v>373</v>
      </c>
      <c r="D63" s="301" t="s">
        <v>375</v>
      </c>
      <c r="E63" s="446" t="s">
        <v>625</v>
      </c>
      <c r="F63" s="275"/>
      <c r="G63" s="267"/>
      <c r="H63" s="267" t="s">
        <v>359</v>
      </c>
      <c r="I63" s="267"/>
      <c r="J63" s="264"/>
      <c r="K63" s="345"/>
      <c r="L63" s="371"/>
      <c r="M63" s="442"/>
      <c r="N63" s="442"/>
      <c r="O63" s="442"/>
      <c r="P63" s="442"/>
      <c r="Q63" s="364"/>
      <c r="R63" s="319"/>
      <c r="S63" s="319"/>
      <c r="T63" s="319"/>
      <c r="U63" s="319"/>
      <c r="V63" s="319"/>
      <c r="W63" s="321"/>
      <c r="X63" s="290"/>
      <c r="Y63" s="291"/>
    </row>
    <row r="64" spans="1:28" s="37" customFormat="1" ht="49.5" customHeight="1" x14ac:dyDescent="0.25">
      <c r="A64" s="287">
        <f>+A63+1</f>
        <v>47</v>
      </c>
      <c r="B64" s="372" t="s">
        <v>598</v>
      </c>
      <c r="C64" s="261" t="s">
        <v>410</v>
      </c>
      <c r="D64" s="301" t="s">
        <v>395</v>
      </c>
      <c r="E64" s="446" t="s">
        <v>599</v>
      </c>
      <c r="F64" s="275" t="s">
        <v>359</v>
      </c>
      <c r="G64" s="267"/>
      <c r="H64" s="267"/>
      <c r="I64" s="267"/>
      <c r="J64" s="264"/>
      <c r="K64" s="345"/>
      <c r="L64" s="274"/>
      <c r="M64" s="265"/>
      <c r="N64" s="265"/>
      <c r="O64" s="265"/>
      <c r="P64" s="265"/>
      <c r="Q64" s="364"/>
      <c r="R64" s="319"/>
      <c r="S64" s="265"/>
      <c r="T64" s="265"/>
      <c r="U64" s="265"/>
      <c r="V64" s="265"/>
      <c r="W64" s="266"/>
      <c r="X64" s="290"/>
      <c r="Y64" s="510" t="s">
        <v>723</v>
      </c>
    </row>
    <row r="65" spans="1:25" s="471" customFormat="1" ht="48" customHeight="1" x14ac:dyDescent="0.25">
      <c r="A65" s="459">
        <f t="shared" si="0"/>
        <v>48</v>
      </c>
      <c r="B65" s="460" t="s">
        <v>392</v>
      </c>
      <c r="C65" s="461" t="s">
        <v>374</v>
      </c>
      <c r="D65" s="462" t="s">
        <v>398</v>
      </c>
      <c r="E65" s="463" t="s">
        <v>635</v>
      </c>
      <c r="F65" s="464" t="s">
        <v>359</v>
      </c>
      <c r="G65" s="465"/>
      <c r="H65" s="465"/>
      <c r="I65" s="465"/>
      <c r="J65" s="466"/>
      <c r="K65" s="467"/>
      <c r="L65" s="468"/>
      <c r="M65" s="469"/>
      <c r="N65" s="469"/>
      <c r="O65" s="469"/>
      <c r="P65" s="469"/>
      <c r="Q65" s="469"/>
      <c r="R65" s="469"/>
      <c r="S65" s="469"/>
      <c r="T65" s="469"/>
      <c r="U65" s="469"/>
      <c r="V65" s="469"/>
      <c r="W65" s="470"/>
      <c r="X65" s="481"/>
      <c r="Y65" s="500" t="s">
        <v>643</v>
      </c>
    </row>
    <row r="66" spans="1:25" s="37" customFormat="1" ht="93" customHeight="1" x14ac:dyDescent="0.25">
      <c r="A66" s="287">
        <f t="shared" si="0"/>
        <v>49</v>
      </c>
      <c r="B66" s="361" t="s">
        <v>436</v>
      </c>
      <c r="C66" s="261" t="s">
        <v>446</v>
      </c>
      <c r="D66" s="301" t="s">
        <v>447</v>
      </c>
      <c r="E66" s="447" t="s">
        <v>593</v>
      </c>
      <c r="F66" s="262"/>
      <c r="G66" s="263"/>
      <c r="H66" s="263"/>
      <c r="I66" s="263"/>
      <c r="J66" s="264"/>
      <c r="K66" s="345"/>
      <c r="L66" s="373"/>
      <c r="M66" s="362"/>
      <c r="N66" s="265"/>
      <c r="O66" s="265"/>
      <c r="P66" s="442"/>
      <c r="Q66" s="364"/>
      <c r="R66" s="265"/>
      <c r="S66" s="265"/>
      <c r="T66" s="265"/>
      <c r="U66" s="319"/>
      <c r="V66" s="319"/>
      <c r="W66" s="266"/>
      <c r="X66" s="454" t="s">
        <v>696</v>
      </c>
      <c r="Y66" s="454" t="s">
        <v>697</v>
      </c>
    </row>
    <row r="67" spans="1:25" s="37" customFormat="1" ht="78" customHeight="1" x14ac:dyDescent="0.25">
      <c r="A67" s="438">
        <f t="shared" si="0"/>
        <v>50</v>
      </c>
      <c r="B67" s="361" t="s">
        <v>427</v>
      </c>
      <c r="C67" s="261" t="s">
        <v>399</v>
      </c>
      <c r="D67" s="301" t="s">
        <v>428</v>
      </c>
      <c r="E67" s="447" t="s">
        <v>584</v>
      </c>
      <c r="F67" s="262"/>
      <c r="G67" s="263"/>
      <c r="H67" s="263"/>
      <c r="I67" s="263"/>
      <c r="J67" s="264" t="s">
        <v>359</v>
      </c>
      <c r="K67" s="345"/>
      <c r="L67" s="276"/>
      <c r="M67" s="442"/>
      <c r="N67" s="442"/>
      <c r="O67" s="442"/>
      <c r="P67" s="265"/>
      <c r="Q67" s="265"/>
      <c r="R67" s="265"/>
      <c r="S67" s="261"/>
      <c r="T67" s="261"/>
      <c r="U67" s="265"/>
      <c r="V67" s="265"/>
      <c r="W67" s="266"/>
      <c r="X67" s="454" t="s">
        <v>674</v>
      </c>
      <c r="Y67" s="455" t="s">
        <v>644</v>
      </c>
    </row>
    <row r="68" spans="1:25" s="37" customFormat="1" ht="113.25" customHeight="1" x14ac:dyDescent="0.25">
      <c r="A68" s="287">
        <f t="shared" si="0"/>
        <v>51</v>
      </c>
      <c r="B68" s="361" t="s">
        <v>448</v>
      </c>
      <c r="C68" s="261" t="s">
        <v>531</v>
      </c>
      <c r="D68" s="301" t="s">
        <v>449</v>
      </c>
      <c r="E68" s="447" t="s">
        <v>594</v>
      </c>
      <c r="F68" s="269"/>
      <c r="G68" s="270"/>
      <c r="H68" s="270"/>
      <c r="I68" s="270"/>
      <c r="J68" s="271"/>
      <c r="K68" s="345"/>
      <c r="L68" s="276"/>
      <c r="M68" s="261"/>
      <c r="N68" s="442"/>
      <c r="O68" s="442"/>
      <c r="P68" s="442"/>
      <c r="Q68" s="364"/>
      <c r="R68" s="319"/>
      <c r="S68" s="319"/>
      <c r="T68" s="319"/>
      <c r="U68" s="319"/>
      <c r="V68" s="319"/>
      <c r="W68" s="321"/>
      <c r="X68" s="457" t="s">
        <v>648</v>
      </c>
      <c r="Y68" s="455" t="s">
        <v>675</v>
      </c>
    </row>
    <row r="69" spans="1:25" s="37" customFormat="1" ht="49.5" customHeight="1" x14ac:dyDescent="0.25">
      <c r="A69" s="287">
        <f t="shared" si="0"/>
        <v>52</v>
      </c>
      <c r="B69" s="302" t="s">
        <v>388</v>
      </c>
      <c r="C69" s="261" t="s">
        <v>371</v>
      </c>
      <c r="D69" s="301" t="s">
        <v>372</v>
      </c>
      <c r="E69" s="447" t="s">
        <v>626</v>
      </c>
      <c r="F69" s="269"/>
      <c r="G69" s="270"/>
      <c r="H69" s="270"/>
      <c r="I69" s="270"/>
      <c r="J69" s="271"/>
      <c r="K69" s="345"/>
      <c r="L69" s="276"/>
      <c r="M69" s="261"/>
      <c r="N69" s="261"/>
      <c r="O69" s="442"/>
      <c r="P69" s="442"/>
      <c r="Q69" s="364"/>
      <c r="R69" s="319"/>
      <c r="S69" s="319"/>
      <c r="T69" s="319"/>
      <c r="U69" s="319"/>
      <c r="V69" s="319"/>
      <c r="W69" s="321"/>
      <c r="X69" s="290"/>
      <c r="Y69" s="456" t="s">
        <v>686</v>
      </c>
    </row>
    <row r="70" spans="1:25" s="37" customFormat="1" ht="381" customHeight="1" x14ac:dyDescent="0.25">
      <c r="A70" s="287">
        <f t="shared" si="0"/>
        <v>53</v>
      </c>
      <c r="B70" s="361" t="s">
        <v>412</v>
      </c>
      <c r="C70" s="261" t="s">
        <v>413</v>
      </c>
      <c r="D70" s="301" t="s">
        <v>532</v>
      </c>
      <c r="E70" s="446" t="s">
        <v>636</v>
      </c>
      <c r="F70" s="269"/>
      <c r="G70" s="270"/>
      <c r="H70" s="270"/>
      <c r="I70" s="270"/>
      <c r="J70" s="271"/>
      <c r="K70" s="345"/>
      <c r="L70" s="371"/>
      <c r="M70" s="265"/>
      <c r="N70" s="265"/>
      <c r="O70" s="442"/>
      <c r="P70" s="265"/>
      <c r="Q70" s="265"/>
      <c r="R70" s="319"/>
      <c r="S70" s="265"/>
      <c r="T70" s="265"/>
      <c r="U70" s="319"/>
      <c r="V70" s="265"/>
      <c r="W70" s="266"/>
      <c r="X70" s="454" t="s">
        <v>707</v>
      </c>
      <c r="Y70" s="455"/>
    </row>
    <row r="71" spans="1:25" s="37" customFormat="1" ht="47.25" customHeight="1" thickBot="1" x14ac:dyDescent="0.3">
      <c r="A71" s="287">
        <f t="shared" si="0"/>
        <v>54</v>
      </c>
      <c r="B71" s="482" t="s">
        <v>533</v>
      </c>
      <c r="C71" s="483" t="s">
        <v>534</v>
      </c>
      <c r="D71" s="484" t="s">
        <v>535</v>
      </c>
      <c r="E71" s="485" t="s">
        <v>560</v>
      </c>
      <c r="F71" s="269" t="s">
        <v>359</v>
      </c>
      <c r="G71" s="270" t="s">
        <v>359</v>
      </c>
      <c r="H71" s="270"/>
      <c r="I71" s="270"/>
      <c r="J71" s="271" t="s">
        <v>359</v>
      </c>
      <c r="K71" s="345"/>
      <c r="L71" s="272"/>
      <c r="M71" s="273"/>
      <c r="N71" s="273"/>
      <c r="O71" s="273"/>
      <c r="P71" s="273"/>
      <c r="Q71" s="273"/>
      <c r="R71" s="273"/>
      <c r="S71" s="273"/>
      <c r="T71" s="273"/>
      <c r="U71" s="318"/>
      <c r="V71" s="318"/>
      <c r="W71" s="324"/>
      <c r="X71" s="290"/>
      <c r="Y71" s="291"/>
    </row>
    <row r="72" spans="1:25" s="37" customFormat="1" ht="29.25" thickBot="1" x14ac:dyDescent="0.3">
      <c r="A72" s="662" t="s">
        <v>536</v>
      </c>
      <c r="B72" s="663"/>
      <c r="C72" s="663"/>
      <c r="D72" s="663"/>
      <c r="E72" s="663"/>
      <c r="F72" s="663"/>
      <c r="G72" s="663"/>
      <c r="H72" s="663"/>
      <c r="I72" s="663"/>
      <c r="J72" s="663"/>
      <c r="K72" s="663"/>
      <c r="L72" s="663"/>
      <c r="M72" s="663"/>
      <c r="N72" s="663"/>
      <c r="O72" s="663"/>
      <c r="P72" s="663"/>
      <c r="Q72" s="663"/>
      <c r="R72" s="663"/>
      <c r="S72" s="663"/>
      <c r="T72" s="663"/>
      <c r="U72" s="663"/>
      <c r="V72" s="663"/>
      <c r="W72" s="664"/>
      <c r="X72" s="290"/>
      <c r="Y72" s="291"/>
    </row>
    <row r="73" spans="1:25" s="37" customFormat="1" ht="51" customHeight="1" x14ac:dyDescent="0.25">
      <c r="A73" s="403">
        <f>+A71+1</f>
        <v>55</v>
      </c>
      <c r="B73" s="488" t="s">
        <v>358</v>
      </c>
      <c r="C73" s="489" t="s">
        <v>373</v>
      </c>
      <c r="D73" s="489" t="s">
        <v>375</v>
      </c>
      <c r="E73" s="490" t="s">
        <v>627</v>
      </c>
      <c r="F73" s="309"/>
      <c r="G73" s="310"/>
      <c r="H73" s="310"/>
      <c r="I73" s="310" t="s">
        <v>359</v>
      </c>
      <c r="J73" s="311"/>
      <c r="K73" s="491"/>
      <c r="L73" s="443"/>
      <c r="M73" s="443"/>
      <c r="N73" s="443"/>
      <c r="O73" s="443"/>
      <c r="P73" s="443"/>
      <c r="Q73" s="494"/>
      <c r="R73" s="322"/>
      <c r="S73" s="322"/>
      <c r="T73" s="322"/>
      <c r="U73" s="322"/>
      <c r="V73" s="322"/>
      <c r="W73" s="323"/>
      <c r="X73" s="290"/>
      <c r="Y73" s="291"/>
    </row>
    <row r="74" spans="1:25" s="37" customFormat="1" ht="409.5" customHeight="1" x14ac:dyDescent="0.25">
      <c r="A74" s="403">
        <f>+A73+1</f>
        <v>56</v>
      </c>
      <c r="B74" s="374" t="s">
        <v>601</v>
      </c>
      <c r="C74" s="261" t="s">
        <v>373</v>
      </c>
      <c r="D74" s="261" t="s">
        <v>375</v>
      </c>
      <c r="E74" s="451" t="s">
        <v>627</v>
      </c>
      <c r="F74" s="277"/>
      <c r="G74" s="278"/>
      <c r="H74" s="278"/>
      <c r="I74" s="278" t="s">
        <v>359</v>
      </c>
      <c r="J74" s="264"/>
      <c r="K74" s="487"/>
      <c r="L74" s="442"/>
      <c r="M74" s="442"/>
      <c r="N74" s="442"/>
      <c r="O74" s="442"/>
      <c r="P74" s="442"/>
      <c r="Q74" s="494"/>
      <c r="R74" s="322"/>
      <c r="S74" s="439"/>
      <c r="T74" s="439"/>
      <c r="U74" s="322"/>
      <c r="V74" s="439"/>
      <c r="W74" s="322"/>
      <c r="X74" s="507" t="s">
        <v>715</v>
      </c>
      <c r="Y74" s="455" t="s">
        <v>716</v>
      </c>
    </row>
    <row r="75" spans="1:25" s="37" customFormat="1" ht="384.75" customHeight="1" thickBot="1" x14ac:dyDescent="0.3">
      <c r="A75" s="404">
        <f>+A74+1</f>
        <v>57</v>
      </c>
      <c r="B75" s="398" t="s">
        <v>400</v>
      </c>
      <c r="C75" s="405" t="s">
        <v>374</v>
      </c>
      <c r="D75" s="405" t="s">
        <v>375</v>
      </c>
      <c r="E75" s="452" t="s">
        <v>628</v>
      </c>
      <c r="F75" s="269"/>
      <c r="G75" s="270"/>
      <c r="H75" s="270" t="s">
        <v>359</v>
      </c>
      <c r="I75" s="270"/>
      <c r="J75" s="271"/>
      <c r="K75" s="348"/>
      <c r="L75" s="486"/>
      <c r="M75" s="444"/>
      <c r="N75" s="444"/>
      <c r="O75" s="444"/>
      <c r="P75" s="380"/>
      <c r="Q75" s="495"/>
      <c r="R75" s="273"/>
      <c r="S75" s="294"/>
      <c r="T75" s="318"/>
      <c r="U75" s="318"/>
      <c r="V75" s="273"/>
      <c r="W75" s="377"/>
      <c r="X75" s="454" t="s">
        <v>717</v>
      </c>
      <c r="Y75" s="455" t="s">
        <v>718</v>
      </c>
    </row>
    <row r="76" spans="1:25" s="37" customFormat="1" ht="29.25" thickBot="1" x14ac:dyDescent="0.3">
      <c r="A76" s="653" t="s">
        <v>218</v>
      </c>
      <c r="B76" s="654"/>
      <c r="C76" s="654"/>
      <c r="D76" s="654"/>
      <c r="E76" s="654"/>
      <c r="F76" s="654"/>
      <c r="G76" s="654"/>
      <c r="H76" s="654"/>
      <c r="I76" s="654"/>
      <c r="J76" s="654"/>
      <c r="K76" s="654"/>
      <c r="L76" s="654"/>
      <c r="M76" s="654"/>
      <c r="N76" s="654"/>
      <c r="O76" s="654"/>
      <c r="P76" s="654"/>
      <c r="Q76" s="654"/>
      <c r="R76" s="654"/>
      <c r="S76" s="654"/>
      <c r="T76" s="654"/>
      <c r="U76" s="654"/>
      <c r="V76" s="654"/>
      <c r="W76" s="655"/>
      <c r="X76" s="290"/>
      <c r="Y76" s="291"/>
    </row>
    <row r="77" spans="1:25" s="37" customFormat="1" ht="69.75" customHeight="1" x14ac:dyDescent="0.25">
      <c r="A77" s="393">
        <f>+A75+1</f>
        <v>58</v>
      </c>
      <c r="B77" s="394" t="s">
        <v>602</v>
      </c>
      <c r="C77" s="395" t="s">
        <v>403</v>
      </c>
      <c r="D77" s="395" t="s">
        <v>404</v>
      </c>
      <c r="E77" s="450" t="s">
        <v>597</v>
      </c>
      <c r="F77" s="386"/>
      <c r="G77" s="387"/>
      <c r="H77" s="387"/>
      <c r="I77" s="387"/>
      <c r="J77" s="388" t="s">
        <v>359</v>
      </c>
      <c r="K77" s="378"/>
      <c r="L77" s="381"/>
      <c r="M77" s="445"/>
      <c r="N77" s="445"/>
      <c r="O77" s="445"/>
      <c r="P77" s="382"/>
      <c r="Q77" s="382"/>
      <c r="R77" s="382"/>
      <c r="S77" s="382"/>
      <c r="T77" s="382"/>
      <c r="U77" s="382"/>
      <c r="V77" s="305"/>
      <c r="W77" s="306"/>
      <c r="X77" s="290"/>
      <c r="Y77" s="291"/>
    </row>
    <row r="78" spans="1:25" s="37" customFormat="1" ht="69.75" customHeight="1" x14ac:dyDescent="0.25">
      <c r="A78" s="396">
        <f>+A77+1</f>
        <v>59</v>
      </c>
      <c r="B78" s="361" t="s">
        <v>579</v>
      </c>
      <c r="C78" s="280" t="s">
        <v>403</v>
      </c>
      <c r="D78" s="280" t="s">
        <v>404</v>
      </c>
      <c r="E78" s="451" t="s">
        <v>597</v>
      </c>
      <c r="F78" s="269"/>
      <c r="G78" s="270"/>
      <c r="H78" s="270"/>
      <c r="I78" s="270"/>
      <c r="J78" s="351" t="s">
        <v>359</v>
      </c>
      <c r="K78" s="345"/>
      <c r="L78" s="272"/>
      <c r="M78" s="279"/>
      <c r="N78" s="279"/>
      <c r="O78" s="279"/>
      <c r="P78" s="279"/>
      <c r="Q78" s="279"/>
      <c r="R78" s="319"/>
      <c r="S78" s="319"/>
      <c r="T78" s="319"/>
      <c r="U78" s="319"/>
      <c r="V78" s="319"/>
      <c r="W78" s="321"/>
      <c r="X78" s="290"/>
      <c r="Y78" s="291"/>
    </row>
    <row r="79" spans="1:25" s="37" customFormat="1" ht="112.5" customHeight="1" x14ac:dyDescent="0.25">
      <c r="A79" s="396">
        <f t="shared" ref="A79:A82" si="1">+A78+1</f>
        <v>60</v>
      </c>
      <c r="B79" s="376" t="s">
        <v>577</v>
      </c>
      <c r="C79" s="384" t="s">
        <v>571</v>
      </c>
      <c r="D79" s="384" t="s">
        <v>404</v>
      </c>
      <c r="E79" s="453" t="s">
        <v>629</v>
      </c>
      <c r="F79" s="346"/>
      <c r="G79" s="347"/>
      <c r="H79" s="347"/>
      <c r="I79" s="347"/>
      <c r="J79" s="351" t="s">
        <v>359</v>
      </c>
      <c r="K79" s="348"/>
      <c r="L79" s="272"/>
      <c r="M79" s="442"/>
      <c r="N79" s="442"/>
      <c r="O79" s="442"/>
      <c r="P79" s="442"/>
      <c r="Q79" s="265"/>
      <c r="R79" s="265"/>
      <c r="S79" s="265"/>
      <c r="T79" s="265"/>
      <c r="U79" s="265"/>
      <c r="V79" s="265"/>
      <c r="W79" s="266"/>
      <c r="X79" s="454" t="s">
        <v>724</v>
      </c>
      <c r="Y79" s="455"/>
    </row>
    <row r="80" spans="1:25" s="37" customFormat="1" ht="112.5" customHeight="1" x14ac:dyDescent="0.25">
      <c r="A80" s="396">
        <f t="shared" si="1"/>
        <v>61</v>
      </c>
      <c r="B80" s="376" t="s">
        <v>676</v>
      </c>
      <c r="C80" s="384" t="s">
        <v>571</v>
      </c>
      <c r="D80" s="384" t="s">
        <v>404</v>
      </c>
      <c r="E80" s="453" t="s">
        <v>629</v>
      </c>
      <c r="F80" s="346"/>
      <c r="G80" s="347"/>
      <c r="H80" s="347"/>
      <c r="I80" s="347"/>
      <c r="J80" s="351" t="s">
        <v>359</v>
      </c>
      <c r="K80" s="348"/>
      <c r="L80" s="272"/>
      <c r="M80" s="265"/>
      <c r="N80" s="265"/>
      <c r="O80" s="442"/>
      <c r="P80" s="442"/>
      <c r="Q80" s="495"/>
      <c r="R80" s="265"/>
      <c r="S80" s="265"/>
      <c r="T80" s="265"/>
      <c r="U80" s="265"/>
      <c r="V80" s="265"/>
      <c r="W80" s="266"/>
      <c r="X80" s="454" t="s">
        <v>725</v>
      </c>
      <c r="Y80" s="457"/>
    </row>
    <row r="81" spans="1:25" s="37" customFormat="1" ht="161.25" customHeight="1" x14ac:dyDescent="0.25">
      <c r="A81" s="396">
        <f>+A80+1</f>
        <v>62</v>
      </c>
      <c r="B81" s="361" t="s">
        <v>603</v>
      </c>
      <c r="C81" s="280" t="s">
        <v>403</v>
      </c>
      <c r="D81" s="280" t="s">
        <v>404</v>
      </c>
      <c r="E81" s="451" t="s">
        <v>597</v>
      </c>
      <c r="F81" s="269"/>
      <c r="G81" s="270"/>
      <c r="H81" s="270"/>
      <c r="I81" s="270"/>
      <c r="J81" s="351" t="s">
        <v>359</v>
      </c>
      <c r="K81" s="345"/>
      <c r="L81" s="442"/>
      <c r="M81" s="442"/>
      <c r="N81" s="442"/>
      <c r="O81" s="442"/>
      <c r="P81" s="442"/>
      <c r="Q81" s="364"/>
      <c r="R81" s="319"/>
      <c r="S81" s="319"/>
      <c r="T81" s="319"/>
      <c r="U81" s="319"/>
      <c r="V81" s="319"/>
      <c r="W81" s="321"/>
      <c r="X81" s="290"/>
      <c r="Y81" s="455" t="s">
        <v>651</v>
      </c>
    </row>
    <row r="82" spans="1:25" s="37" customFormat="1" ht="128.25" customHeight="1" x14ac:dyDescent="0.25">
      <c r="A82" s="396">
        <f t="shared" si="1"/>
        <v>63</v>
      </c>
      <c r="B82" s="283" t="s">
        <v>366</v>
      </c>
      <c r="C82" s="261" t="s">
        <v>396</v>
      </c>
      <c r="D82" s="261" t="s">
        <v>397</v>
      </c>
      <c r="E82" s="451" t="s">
        <v>587</v>
      </c>
      <c r="F82" s="262" t="s">
        <v>359</v>
      </c>
      <c r="G82" s="263" t="s">
        <v>359</v>
      </c>
      <c r="H82" s="263" t="s">
        <v>359</v>
      </c>
      <c r="I82" s="263"/>
      <c r="J82" s="281"/>
      <c r="K82" s="345"/>
      <c r="L82" s="379"/>
      <c r="M82" s="265"/>
      <c r="N82" s="265"/>
      <c r="O82" s="379"/>
      <c r="P82" s="265"/>
      <c r="Q82" s="265"/>
      <c r="R82" s="319"/>
      <c r="S82" s="265"/>
      <c r="T82" s="265"/>
      <c r="U82" s="319"/>
      <c r="V82" s="265"/>
      <c r="W82" s="266"/>
      <c r="X82" s="454" t="s">
        <v>730</v>
      </c>
      <c r="Y82" s="455"/>
    </row>
    <row r="83" spans="1:25" s="37" customFormat="1" ht="149.25" customHeight="1" x14ac:dyDescent="0.25">
      <c r="A83" s="396">
        <f t="shared" ref="A83:A86" si="2">+A82+1</f>
        <v>64</v>
      </c>
      <c r="B83" s="304" t="s">
        <v>354</v>
      </c>
      <c r="C83" s="261" t="s">
        <v>537</v>
      </c>
      <c r="D83" s="261" t="s">
        <v>382</v>
      </c>
      <c r="E83" s="447" t="s">
        <v>586</v>
      </c>
      <c r="F83" s="277"/>
      <c r="G83" s="278"/>
      <c r="H83" s="278"/>
      <c r="I83" s="278"/>
      <c r="J83" s="281" t="s">
        <v>359</v>
      </c>
      <c r="K83" s="345"/>
      <c r="L83" s="379"/>
      <c r="M83" s="442"/>
      <c r="N83" s="442"/>
      <c r="O83" s="442"/>
      <c r="P83" s="442"/>
      <c r="Q83" s="496"/>
      <c r="R83" s="325"/>
      <c r="S83" s="325"/>
      <c r="T83" s="325"/>
      <c r="U83" s="325"/>
      <c r="V83" s="325"/>
      <c r="W83" s="321"/>
      <c r="X83" s="454" t="s">
        <v>687</v>
      </c>
      <c r="Y83" s="455"/>
    </row>
    <row r="84" spans="1:25" s="37" customFormat="1" ht="69.75" customHeight="1" x14ac:dyDescent="0.25">
      <c r="A84" s="396">
        <f t="shared" si="2"/>
        <v>65</v>
      </c>
      <c r="B84" s="304" t="s">
        <v>386</v>
      </c>
      <c r="C84" s="261" t="s">
        <v>537</v>
      </c>
      <c r="D84" s="261" t="s">
        <v>382</v>
      </c>
      <c r="E84" s="447" t="s">
        <v>586</v>
      </c>
      <c r="F84" s="277"/>
      <c r="G84" s="278"/>
      <c r="H84" s="278"/>
      <c r="I84" s="278"/>
      <c r="J84" s="281" t="s">
        <v>359</v>
      </c>
      <c r="K84" s="345"/>
      <c r="L84" s="379"/>
      <c r="M84" s="442"/>
      <c r="N84" s="265"/>
      <c r="O84" s="265"/>
      <c r="P84" s="265"/>
      <c r="Q84" s="265"/>
      <c r="R84" s="265"/>
      <c r="S84" s="265"/>
      <c r="T84" s="265"/>
      <c r="U84" s="265"/>
      <c r="V84" s="265"/>
      <c r="W84" s="266"/>
      <c r="X84" s="457" t="s">
        <v>640</v>
      </c>
      <c r="Y84" s="455"/>
    </row>
    <row r="85" spans="1:25" s="37" customFormat="1" ht="171" customHeight="1" x14ac:dyDescent="0.25">
      <c r="A85" s="396">
        <f t="shared" si="2"/>
        <v>66</v>
      </c>
      <c r="B85" s="283" t="s">
        <v>369</v>
      </c>
      <c r="C85" s="261" t="s">
        <v>373</v>
      </c>
      <c r="D85" s="261" t="s">
        <v>375</v>
      </c>
      <c r="E85" s="451" t="s">
        <v>597</v>
      </c>
      <c r="F85" s="277"/>
      <c r="G85" s="278"/>
      <c r="H85" s="278"/>
      <c r="I85" s="278"/>
      <c r="J85" s="281" t="s">
        <v>359</v>
      </c>
      <c r="K85" s="345"/>
      <c r="L85" s="379"/>
      <c r="M85" s="442"/>
      <c r="N85" s="442"/>
      <c r="O85" s="442"/>
      <c r="P85" s="442"/>
      <c r="Q85" s="364"/>
      <c r="R85" s="319"/>
      <c r="S85" s="319"/>
      <c r="T85" s="319"/>
      <c r="U85" s="319"/>
      <c r="V85" s="319"/>
      <c r="W85" s="321"/>
      <c r="X85" s="454" t="s">
        <v>719</v>
      </c>
      <c r="Y85" s="508" t="s">
        <v>720</v>
      </c>
    </row>
    <row r="86" spans="1:25" s="37" customFormat="1" ht="93.75" customHeight="1" thickBot="1" x14ac:dyDescent="0.3">
      <c r="A86" s="397">
        <f t="shared" si="2"/>
        <v>67</v>
      </c>
      <c r="B86" s="398" t="s">
        <v>604</v>
      </c>
      <c r="C86" s="399" t="s">
        <v>394</v>
      </c>
      <c r="D86" s="399" t="s">
        <v>429</v>
      </c>
      <c r="E86" s="400" t="s">
        <v>595</v>
      </c>
      <c r="F86" s="389" t="s">
        <v>359</v>
      </c>
      <c r="G86" s="390" t="s">
        <v>359</v>
      </c>
      <c r="H86" s="390" t="s">
        <v>359</v>
      </c>
      <c r="I86" s="390" t="s">
        <v>359</v>
      </c>
      <c r="J86" s="391"/>
      <c r="K86" s="345"/>
      <c r="L86" s="385"/>
      <c r="M86" s="352"/>
      <c r="N86" s="352"/>
      <c r="O86" s="352"/>
      <c r="P86" s="352"/>
      <c r="Q86" s="352"/>
      <c r="R86" s="352"/>
      <c r="S86" s="352"/>
      <c r="T86" s="352"/>
      <c r="U86" s="352"/>
      <c r="V86" s="352"/>
      <c r="W86" s="383"/>
      <c r="X86" s="290"/>
      <c r="Y86" s="291"/>
    </row>
    <row r="87" spans="1:25" s="37" customFormat="1" ht="29.25" thickBot="1" x14ac:dyDescent="0.3">
      <c r="A87" s="392"/>
      <c r="B87" s="256" t="s">
        <v>411</v>
      </c>
      <c r="C87" s="36"/>
      <c r="D87" s="36"/>
      <c r="E87" s="36"/>
      <c r="F87" s="254"/>
      <c r="G87" s="254"/>
      <c r="H87" s="254"/>
      <c r="I87" s="254"/>
      <c r="J87" s="32"/>
      <c r="K87" s="32"/>
      <c r="L87" s="32"/>
      <c r="M87" s="32"/>
      <c r="N87" s="32"/>
      <c r="O87" s="32"/>
      <c r="P87" s="32"/>
      <c r="Q87" s="32"/>
      <c r="R87" s="32"/>
      <c r="S87" s="32"/>
      <c r="T87" s="32"/>
      <c r="U87" s="32"/>
      <c r="V87" s="32"/>
      <c r="W87" s="32"/>
      <c r="Y87" s="255"/>
    </row>
    <row r="88" spans="1:25" s="37" customFormat="1" ht="29.25" customHeight="1" thickBot="1" x14ac:dyDescent="0.3">
      <c r="A88" s="32"/>
      <c r="B88" s="289"/>
      <c r="C88" s="258" t="s">
        <v>433</v>
      </c>
      <c r="D88" s="36"/>
      <c r="E88" s="36"/>
      <c r="F88" s="254"/>
      <c r="G88" s="254"/>
      <c r="H88" s="254"/>
      <c r="I88" s="254"/>
      <c r="J88" s="32"/>
      <c r="K88" s="32"/>
      <c r="L88" s="32"/>
      <c r="M88" s="32"/>
      <c r="N88" s="32"/>
      <c r="O88" s="32"/>
      <c r="P88" s="32"/>
      <c r="Q88" s="32"/>
      <c r="R88" s="32"/>
      <c r="S88" s="32"/>
      <c r="T88" s="32"/>
      <c r="U88" s="32"/>
      <c r="V88" s="32"/>
      <c r="W88" s="32"/>
      <c r="Y88" s="255"/>
    </row>
    <row r="89" spans="1:25" s="37" customFormat="1" ht="29.25" customHeight="1" thickBot="1" x14ac:dyDescent="0.3">
      <c r="A89" s="32"/>
      <c r="B89" s="257"/>
      <c r="C89" s="258" t="s">
        <v>431</v>
      </c>
      <c r="D89" s="195"/>
      <c r="E89" s="195"/>
      <c r="F89" s="195"/>
      <c r="G89" s="195"/>
      <c r="H89" s="195"/>
      <c r="I89" s="195"/>
      <c r="J89" s="195"/>
      <c r="K89" s="195"/>
      <c r="L89" s="195"/>
      <c r="M89" s="195"/>
      <c r="N89" s="195"/>
      <c r="O89" s="195"/>
      <c r="P89" s="195"/>
      <c r="Q89" s="195"/>
      <c r="R89" s="195"/>
      <c r="S89" s="195"/>
      <c r="T89" s="195"/>
      <c r="U89" s="195"/>
      <c r="V89" s="195"/>
      <c r="W89" s="195"/>
    </row>
    <row r="90" spans="1:25" s="37" customFormat="1" ht="29.25" customHeight="1" thickBot="1" x14ac:dyDescent="0.3">
      <c r="A90" s="32"/>
      <c r="B90" s="284"/>
      <c r="C90" s="258" t="s">
        <v>565</v>
      </c>
      <c r="D90" s="195"/>
      <c r="E90" s="195"/>
      <c r="F90" s="195"/>
      <c r="G90" s="195"/>
      <c r="H90" s="195"/>
      <c r="I90" s="195"/>
      <c r="J90" s="195"/>
      <c r="K90" s="195"/>
      <c r="L90" s="195"/>
      <c r="M90" s="195"/>
      <c r="N90" s="195"/>
      <c r="O90" s="195"/>
      <c r="P90" s="195"/>
      <c r="Q90" s="195"/>
      <c r="R90" s="195"/>
      <c r="S90" s="195"/>
      <c r="T90" s="195"/>
      <c r="U90" s="195"/>
      <c r="V90" s="195"/>
      <c r="W90" s="195"/>
    </row>
    <row r="91" spans="1:25" s="37" customFormat="1" ht="29.25" customHeight="1" thickBot="1" x14ac:dyDescent="0.3">
      <c r="A91" s="32"/>
      <c r="B91" s="285"/>
      <c r="C91" s="258" t="s">
        <v>450</v>
      </c>
      <c r="D91" s="195"/>
      <c r="E91" s="195"/>
      <c r="F91" s="195"/>
      <c r="G91" s="195"/>
      <c r="H91" s="195"/>
      <c r="I91" s="195"/>
      <c r="J91" s="195"/>
      <c r="K91" s="195"/>
      <c r="L91" s="195"/>
      <c r="M91" s="195"/>
      <c r="N91" s="195"/>
      <c r="O91" s="195"/>
      <c r="P91" s="195"/>
      <c r="Q91" s="195"/>
      <c r="R91" s="195"/>
      <c r="S91" s="195"/>
      <c r="T91" s="195"/>
      <c r="U91" s="195"/>
      <c r="V91" s="195"/>
      <c r="W91" s="195"/>
    </row>
    <row r="92" spans="1:25" s="37" customFormat="1" ht="29.25" customHeight="1" thickBot="1" x14ac:dyDescent="0.3">
      <c r="A92" s="32"/>
      <c r="B92" s="326"/>
      <c r="C92" s="258" t="s">
        <v>566</v>
      </c>
      <c r="D92" s="195"/>
      <c r="E92" s="195"/>
      <c r="F92" s="195"/>
      <c r="G92" s="195"/>
      <c r="H92" s="195"/>
      <c r="I92" s="195"/>
      <c r="J92" s="195"/>
      <c r="K92" s="195"/>
      <c r="L92" s="195"/>
      <c r="M92" s="195"/>
      <c r="N92" s="195"/>
      <c r="O92" s="195"/>
      <c r="P92" s="195"/>
      <c r="Q92" s="195"/>
      <c r="R92" s="195"/>
      <c r="S92" s="195"/>
      <c r="T92" s="195"/>
      <c r="U92" s="195"/>
      <c r="V92" s="195"/>
      <c r="W92" s="195"/>
    </row>
    <row r="93" spans="1:25" s="37" customFormat="1" ht="28.5" customHeight="1" x14ac:dyDescent="0.25">
      <c r="A93" s="32"/>
      <c r="B93" s="472"/>
      <c r="C93" s="474" t="s">
        <v>575</v>
      </c>
      <c r="D93" s="195"/>
      <c r="E93" s="195"/>
      <c r="F93" s="195"/>
      <c r="G93" s="195"/>
      <c r="H93" s="195"/>
      <c r="I93" s="195"/>
      <c r="J93" s="195"/>
      <c r="K93" s="195"/>
      <c r="L93" s="195"/>
      <c r="M93" s="195"/>
      <c r="N93" s="195"/>
      <c r="O93" s="195"/>
      <c r="P93" s="195"/>
      <c r="Q93" s="195"/>
      <c r="R93" s="195"/>
      <c r="S93" s="195"/>
      <c r="T93" s="195"/>
      <c r="U93" s="195"/>
      <c r="V93" s="195"/>
      <c r="W93" s="195"/>
    </row>
    <row r="94" spans="1:25" s="37" customFormat="1" ht="28.5" customHeight="1" x14ac:dyDescent="0.25">
      <c r="A94" s="32"/>
      <c r="B94" s="473"/>
      <c r="C94" s="475" t="s">
        <v>659</v>
      </c>
      <c r="D94" s="195"/>
      <c r="E94" s="195"/>
      <c r="F94" s="195"/>
      <c r="G94" s="195"/>
      <c r="H94" s="195"/>
      <c r="I94" s="195"/>
      <c r="J94" s="195"/>
      <c r="K94" s="195"/>
      <c r="L94" s="195"/>
      <c r="M94" s="195"/>
      <c r="N94" s="195"/>
      <c r="O94" s="195"/>
      <c r="P94" s="195"/>
      <c r="Q94" s="195"/>
      <c r="R94" s="195"/>
      <c r="S94" s="195"/>
      <c r="T94" s="195"/>
      <c r="U94" s="195"/>
      <c r="V94" s="195"/>
      <c r="W94" s="195"/>
    </row>
    <row r="95" spans="1:25" s="37" customFormat="1" x14ac:dyDescent="0.25">
      <c r="A95" s="32"/>
      <c r="B95" s="327"/>
      <c r="C95" s="255"/>
      <c r="D95" s="195"/>
      <c r="E95" s="195"/>
      <c r="F95" s="195"/>
      <c r="G95" s="195"/>
      <c r="H95" s="195"/>
      <c r="I95" s="195"/>
      <c r="J95" s="195"/>
      <c r="K95" s="195"/>
      <c r="L95" s="195"/>
      <c r="M95" s="195"/>
      <c r="N95" s="195"/>
      <c r="O95" s="195"/>
      <c r="P95" s="195"/>
      <c r="Q95" s="195"/>
      <c r="R95" s="195"/>
      <c r="S95" s="195"/>
      <c r="T95" s="195"/>
      <c r="U95" s="195"/>
      <c r="V95" s="195"/>
      <c r="W95" s="195"/>
    </row>
    <row r="96" spans="1:25" s="37" customFormat="1" x14ac:dyDescent="0.25">
      <c r="A96" s="32"/>
      <c r="B96" s="288" t="s">
        <v>664</v>
      </c>
      <c r="C96" s="255"/>
      <c r="D96" s="195"/>
      <c r="E96" s="195"/>
      <c r="F96" s="195"/>
      <c r="G96" s="195"/>
      <c r="H96" s="195"/>
      <c r="I96" s="195"/>
      <c r="J96" s="195"/>
      <c r="K96" s="195"/>
      <c r="L96" s="195"/>
      <c r="M96" s="195"/>
      <c r="N96" s="195"/>
      <c r="O96" s="195"/>
      <c r="P96" s="195"/>
      <c r="Q96" s="195"/>
      <c r="R96" s="195"/>
      <c r="S96" s="195"/>
      <c r="T96" s="195"/>
      <c r="U96" s="195"/>
      <c r="V96" s="195"/>
      <c r="W96" s="195"/>
    </row>
    <row r="97" spans="1:23" s="37" customFormat="1" x14ac:dyDescent="0.25">
      <c r="A97" s="32"/>
      <c r="B97" s="288" t="s">
        <v>662</v>
      </c>
      <c r="C97" s="255"/>
      <c r="D97" s="195"/>
      <c r="E97" s="195"/>
      <c r="F97" s="195"/>
      <c r="G97" s="195"/>
      <c r="H97" s="195"/>
      <c r="I97" s="195"/>
      <c r="J97" s="195"/>
      <c r="K97" s="195"/>
      <c r="L97" s="195"/>
      <c r="M97" s="195"/>
      <c r="N97" s="195"/>
      <c r="O97" s="195"/>
      <c r="P97" s="195"/>
      <c r="Q97" s="195"/>
      <c r="R97" s="195"/>
      <c r="S97" s="195"/>
      <c r="T97" s="195"/>
      <c r="U97" s="195"/>
      <c r="V97" s="195"/>
      <c r="W97" s="195"/>
    </row>
    <row r="98" spans="1:23" s="37" customFormat="1" x14ac:dyDescent="0.25">
      <c r="A98" s="32"/>
      <c r="B98" s="288" t="s">
        <v>663</v>
      </c>
      <c r="C98" s="255"/>
      <c r="D98" s="195"/>
      <c r="E98" s="195"/>
      <c r="F98" s="195"/>
      <c r="G98" s="195"/>
      <c r="H98" s="195"/>
      <c r="I98" s="195"/>
      <c r="J98" s="195"/>
      <c r="K98" s="195"/>
      <c r="L98" s="195"/>
      <c r="M98" s="195"/>
      <c r="N98" s="195"/>
      <c r="O98" s="195"/>
      <c r="P98" s="195"/>
      <c r="Q98" s="195"/>
      <c r="R98" s="195"/>
      <c r="S98" s="195"/>
      <c r="T98" s="195"/>
      <c r="U98" s="195"/>
      <c r="V98" s="195"/>
      <c r="W98" s="195"/>
    </row>
    <row r="99" spans="1:23" s="33" customFormat="1" x14ac:dyDescent="0.25">
      <c r="A99" s="32"/>
      <c r="B99" s="288" t="s">
        <v>576</v>
      </c>
      <c r="C99" s="288"/>
      <c r="D99" s="288"/>
      <c r="E99" s="288"/>
      <c r="F99" s="288"/>
      <c r="G99" s="288"/>
      <c r="H99" s="288"/>
      <c r="I99" s="288"/>
      <c r="J99" s="288"/>
      <c r="K99" s="288"/>
      <c r="L99" s="288"/>
      <c r="M99" s="288"/>
    </row>
    <row r="100" spans="1:23" x14ac:dyDescent="0.45">
      <c r="A100" s="31"/>
      <c r="B100" s="34" t="s">
        <v>385</v>
      </c>
    </row>
  </sheetData>
  <autoFilter ref="A12:DC93">
    <filterColumn colId="5" showButton="0"/>
    <filterColumn colId="6" showButton="0"/>
    <filterColumn colId="7" showButton="0"/>
    <filterColumn colId="8"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45">
    <mergeCell ref="O15:O16"/>
    <mergeCell ref="X55:X56"/>
    <mergeCell ref="Y55:Y56"/>
    <mergeCell ref="X12:X16"/>
    <mergeCell ref="Y12:Y16"/>
    <mergeCell ref="R15:R16"/>
    <mergeCell ref="E12:E15"/>
    <mergeCell ref="F12:J12"/>
    <mergeCell ref="L15:L16"/>
    <mergeCell ref="M15:M16"/>
    <mergeCell ref="N15:N16"/>
    <mergeCell ref="J13:J16"/>
    <mergeCell ref="H13:H16"/>
    <mergeCell ref="A7:B7"/>
    <mergeCell ref="A1:B6"/>
    <mergeCell ref="A72:W72"/>
    <mergeCell ref="C7:W7"/>
    <mergeCell ref="P15:P16"/>
    <mergeCell ref="Q15:Q16"/>
    <mergeCell ref="U15:U16"/>
    <mergeCell ref="V15:V16"/>
    <mergeCell ref="W15:W16"/>
    <mergeCell ref="C1:M3"/>
    <mergeCell ref="N1:W3"/>
    <mergeCell ref="C4:W4"/>
    <mergeCell ref="C5:W5"/>
    <mergeCell ref="C6:W6"/>
    <mergeCell ref="B12:B15"/>
    <mergeCell ref="C12:C15"/>
    <mergeCell ref="A76:W76"/>
    <mergeCell ref="A8:B8"/>
    <mergeCell ref="A12:A15"/>
    <mergeCell ref="A16:E16"/>
    <mergeCell ref="A41:W41"/>
    <mergeCell ref="S15:S16"/>
    <mergeCell ref="T15:T16"/>
    <mergeCell ref="F13:F16"/>
    <mergeCell ref="G13:G16"/>
    <mergeCell ref="I13:I16"/>
    <mergeCell ref="C8:W8"/>
    <mergeCell ref="K15:K16"/>
    <mergeCell ref="A37:W37"/>
    <mergeCell ref="D12:D15"/>
    <mergeCell ref="L13:W14"/>
    <mergeCell ref="L12:W12"/>
  </mergeCells>
  <phoneticPr fontId="58" type="noConversion"/>
  <pageMargins left="0.31496062992125984" right="0.08" top="0.41" bottom="7.874015748031496E-2" header="0.21" footer="0.31496062992125984"/>
  <pageSetup paperSize="14" scale="28" fitToHeight="0"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76"/>
  <sheetViews>
    <sheetView topLeftCell="A49" workbookViewId="0">
      <selection activeCell="B22" sqref="B22"/>
    </sheetView>
  </sheetViews>
  <sheetFormatPr baseColWidth="10" defaultColWidth="11.42578125" defaultRowHeight="15" x14ac:dyDescent="0.25"/>
  <cols>
    <col min="1" max="1" width="4.5703125" customWidth="1"/>
    <col min="2" max="2" width="48.7109375" style="65" customWidth="1"/>
    <col min="3" max="3" width="12.140625" bestFit="1" customWidth="1"/>
    <col min="8" max="8" width="11.5703125" customWidth="1"/>
    <col min="9" max="9" width="5.28515625" customWidth="1"/>
    <col min="10" max="10" width="8.28515625" customWidth="1"/>
    <col min="16" max="16" width="11.42578125" style="66"/>
    <col min="17" max="17" width="21.42578125" customWidth="1"/>
    <col min="18" max="18" width="22.7109375" customWidth="1"/>
    <col min="20" max="20" width="45.28515625" customWidth="1"/>
  </cols>
  <sheetData>
    <row r="1" spans="2:20" ht="15.75" thickBot="1" x14ac:dyDescent="0.3">
      <c r="B1"/>
      <c r="P1"/>
    </row>
    <row r="2" spans="2:20" x14ac:dyDescent="0.25">
      <c r="B2" s="582" t="s">
        <v>16</v>
      </c>
      <c r="C2" s="524" t="s">
        <v>17</v>
      </c>
      <c r="D2" s="741"/>
      <c r="E2" s="741"/>
      <c r="F2" s="741"/>
      <c r="G2" s="741"/>
      <c r="H2" s="741"/>
      <c r="I2" s="741"/>
      <c r="J2" s="741"/>
      <c r="K2" s="741"/>
      <c r="L2" s="741"/>
      <c r="M2" s="741"/>
      <c r="N2" s="741"/>
      <c r="O2" s="585"/>
      <c r="P2" s="585"/>
      <c r="Q2" s="586"/>
    </row>
    <row r="3" spans="2:20" x14ac:dyDescent="0.25">
      <c r="B3" s="583"/>
      <c r="C3" s="742"/>
      <c r="D3" s="742"/>
      <c r="E3" s="742"/>
      <c r="F3" s="742"/>
      <c r="G3" s="742"/>
      <c r="H3" s="742"/>
      <c r="I3" s="742"/>
      <c r="J3" s="742"/>
      <c r="K3" s="742"/>
      <c r="L3" s="742"/>
      <c r="M3" s="742"/>
      <c r="N3" s="742"/>
      <c r="O3" s="587"/>
      <c r="P3" s="587"/>
      <c r="Q3" s="588"/>
    </row>
    <row r="4" spans="2:20" x14ac:dyDescent="0.25">
      <c r="B4" s="583"/>
      <c r="C4" s="742"/>
      <c r="D4" s="742"/>
      <c r="E4" s="742"/>
      <c r="F4" s="742"/>
      <c r="G4" s="742"/>
      <c r="H4" s="742"/>
      <c r="I4" s="742"/>
      <c r="J4" s="742"/>
      <c r="K4" s="742"/>
      <c r="L4" s="742"/>
      <c r="M4" s="742"/>
      <c r="N4" s="742"/>
      <c r="O4" s="587"/>
      <c r="P4" s="587"/>
      <c r="Q4" s="588"/>
    </row>
    <row r="5" spans="2:20" ht="15.75" thickBot="1" x14ac:dyDescent="0.3">
      <c r="B5" s="740"/>
      <c r="C5" s="625"/>
      <c r="D5" s="743"/>
      <c r="E5" s="743"/>
      <c r="F5" s="743"/>
      <c r="G5" s="743"/>
      <c r="H5" s="743"/>
      <c r="I5" s="743"/>
      <c r="J5" s="743"/>
      <c r="K5" s="743"/>
      <c r="L5" s="743"/>
      <c r="M5" s="743"/>
      <c r="N5" s="743"/>
      <c r="O5" s="589"/>
      <c r="P5" s="589"/>
      <c r="Q5" s="590"/>
    </row>
    <row r="6" spans="2:20" ht="17.25" thickBot="1" x14ac:dyDescent="0.35">
      <c r="B6" s="23" t="s">
        <v>11</v>
      </c>
      <c r="C6" s="24">
        <v>45657</v>
      </c>
      <c r="D6" s="25"/>
      <c r="P6"/>
    </row>
    <row r="7" spans="2:20" ht="16.5" x14ac:dyDescent="0.3">
      <c r="B7" s="46"/>
      <c r="C7" s="47"/>
      <c r="D7" s="25"/>
      <c r="P7"/>
    </row>
    <row r="8" spans="2:20" ht="17.25" thickBot="1" x14ac:dyDescent="0.35">
      <c r="B8" s="25"/>
      <c r="C8" s="25"/>
      <c r="D8" s="25"/>
      <c r="P8"/>
    </row>
    <row r="9" spans="2:20" ht="15.75" thickBot="1" x14ac:dyDescent="0.3">
      <c r="B9" s="9">
        <v>1</v>
      </c>
      <c r="C9" s="734">
        <v>2</v>
      </c>
      <c r="D9" s="734"/>
      <c r="E9" s="734"/>
      <c r="F9" s="734"/>
      <c r="G9" s="734"/>
      <c r="H9" s="734"/>
      <c r="I9" s="734"/>
      <c r="J9" s="734">
        <v>3</v>
      </c>
      <c r="K9" s="734"/>
      <c r="L9" s="734">
        <v>4</v>
      </c>
      <c r="M9" s="734"/>
      <c r="N9" s="734">
        <v>4</v>
      </c>
      <c r="O9" s="734"/>
      <c r="P9" s="739"/>
      <c r="Q9" s="727">
        <v>5</v>
      </c>
      <c r="R9" s="728"/>
    </row>
    <row r="10" spans="2:20" ht="15.75" thickBot="1" x14ac:dyDescent="0.3">
      <c r="B10" s="735" t="s">
        <v>19</v>
      </c>
      <c r="C10" s="737" t="s">
        <v>0</v>
      </c>
      <c r="D10" s="738"/>
      <c r="E10" s="738"/>
      <c r="F10" s="738"/>
      <c r="G10" s="738"/>
      <c r="H10" s="732" t="s">
        <v>6</v>
      </c>
      <c r="I10" s="733"/>
      <c r="J10" s="732" t="s">
        <v>7</v>
      </c>
      <c r="K10" s="733"/>
      <c r="L10" s="732" t="s">
        <v>8</v>
      </c>
      <c r="M10" s="733"/>
      <c r="N10" s="726" t="s">
        <v>9</v>
      </c>
      <c r="O10" s="726" t="s">
        <v>10</v>
      </c>
      <c r="P10" s="726" t="s">
        <v>13</v>
      </c>
      <c r="Q10" s="726" t="s">
        <v>14</v>
      </c>
      <c r="R10" s="726" t="s">
        <v>20</v>
      </c>
    </row>
    <row r="11" spans="2:20" ht="93.75" customHeight="1" thickBot="1" x14ac:dyDescent="0.3">
      <c r="B11" s="736"/>
      <c r="C11" s="228" t="s">
        <v>1</v>
      </c>
      <c r="D11" s="229" t="s">
        <v>2</v>
      </c>
      <c r="E11" s="230" t="s">
        <v>3</v>
      </c>
      <c r="F11" s="231" t="s">
        <v>4</v>
      </c>
      <c r="G11" s="232" t="s">
        <v>5</v>
      </c>
      <c r="H11" s="732"/>
      <c r="I11" s="733"/>
      <c r="J11" s="732"/>
      <c r="K11" s="733"/>
      <c r="L11" s="732"/>
      <c r="M11" s="733"/>
      <c r="N11" s="726"/>
      <c r="O11" s="726"/>
      <c r="P11" s="726"/>
      <c r="Q11" s="726"/>
      <c r="R11" s="726"/>
    </row>
    <row r="12" spans="2:20" ht="15.75" thickBot="1" x14ac:dyDescent="0.3">
      <c r="B12" s="233" t="str">
        <f>+'PRIORIZACIÓN (2)'!B11</f>
        <v>Seguimiento a SARLAFT</v>
      </c>
      <c r="C12" s="2">
        <f>+'PRIORIZACIÓN (2)'!C11</f>
        <v>1</v>
      </c>
      <c r="D12" s="3">
        <f>+'PRIORIZACIÓN (2)'!D11</f>
        <v>1</v>
      </c>
      <c r="E12" s="3">
        <f>+'PRIORIZACIÓN (2)'!E11</f>
        <v>1</v>
      </c>
      <c r="F12" s="3">
        <f>+'PRIORIZACIÓN (2)'!F11</f>
        <v>1</v>
      </c>
      <c r="G12" s="234">
        <f>SUM(C12:F12)</f>
        <v>4</v>
      </c>
      <c r="H12" s="236" t="str">
        <f>+IF(($C12/$G12)&gt;=0.2,"Extremo",+IF((($C12/G12)+($D12/$G12))&gt;=0.3,"Alto",+IF((($C12/$G12)+($D12/$G12)+($E12/$G12))&gt;=0.4,"Moderado",+IF(($C12/$G12)+($D12/$G12)+($E12/$G12)+($F12/$G12)&gt;=0.5,"Bajo",""))))</f>
        <v>Extremo</v>
      </c>
      <c r="I12" s="4">
        <f>(IF(H12="Extremo",50%,(IF(H12="Alto",40%,IF(H12="Moderado",15%,IF(H12="Bajo",10%,0))))))</f>
        <v>0.5</v>
      </c>
      <c r="J12" s="7" t="s">
        <v>12</v>
      </c>
      <c r="K12" s="226">
        <f>IF(J12="Si",100%,IF(J12="No",0,0))</f>
        <v>0</v>
      </c>
      <c r="L12" s="2" t="s">
        <v>12</v>
      </c>
      <c r="M12" s="4">
        <f>IF(L12="Si",20%,IF(L12="No",0,0))</f>
        <v>0</v>
      </c>
      <c r="N12" s="244">
        <f>+'PRIORIZACIÓN (2)'!Q11</f>
        <v>0</v>
      </c>
      <c r="O12" s="242">
        <f>+$C$6-N12</f>
        <v>45657</v>
      </c>
      <c r="P12" s="240">
        <f>IF(O12&gt;=1080,30%,IF(O12&gt;=720,20%,IF(O12&gt;=360,10%,IF(O12&lt;=359,0%,0))))</f>
        <v>0.3</v>
      </c>
      <c r="Q12" s="238">
        <f>IF(K12=100%,100%,(I12+M12+P12))</f>
        <v>0.8</v>
      </c>
      <c r="R12" s="27">
        <f t="shared" ref="R12:R29" si="0">+RANK(Q12,$Q$12:$Q$55,0)</f>
        <v>10</v>
      </c>
      <c r="T12" s="26" t="e">
        <f>IF(N12=100%,100%,(L12+P12+S12))</f>
        <v>#VALUE!</v>
      </c>
    </row>
    <row r="13" spans="2:20" ht="15.75" thickBot="1" x14ac:dyDescent="0.3">
      <c r="B13" s="233" t="str">
        <f>+'PRIORIZACIÓN (2)'!B12</f>
        <v>Revisión de Polizas de Seguro Corporativa</v>
      </c>
      <c r="C13" s="5">
        <f>+'PRIORIZACIÓN (2)'!C12</f>
        <v>1</v>
      </c>
      <c r="D13" s="1">
        <f>+'PRIORIZACIÓN (2)'!D12</f>
        <v>1</v>
      </c>
      <c r="E13" s="1">
        <f>+'PRIORIZACIÓN (2)'!E12</f>
        <v>1</v>
      </c>
      <c r="F13" s="1">
        <f>+'PRIORIZACIÓN (2)'!F12</f>
        <v>2</v>
      </c>
      <c r="G13" s="235">
        <f t="shared" ref="G13:G25" si="1">SUM(C13:F13)</f>
        <v>5</v>
      </c>
      <c r="H13" s="237" t="str">
        <f t="shared" ref="H13:H25" si="2">+IF(($C13/$G13)&gt;=0.2,"Extremo",+IF((($C13/G13)+($D13/$G13))&gt;=0.3,"Alto",+IF((($C13/$G13)+($D13/$G13)+($E13/$G13))&gt;=0.4,"Moderado",+IF(($C13/$G13)+($D13/$G13)+($E13/$G13)+($F13/$G13)&gt;=0.5,"Bajo",""))))</f>
        <v>Extremo</v>
      </c>
      <c r="I13" s="6">
        <f t="shared" ref="I13:I25" si="3">(IF(H13="Extremo",50%,(IF(H13="Alto",40%,IF(H13="Moderado",15%,IF(H13="Bajo",10%,0))))))</f>
        <v>0.5</v>
      </c>
      <c r="J13" s="8" t="s">
        <v>12</v>
      </c>
      <c r="K13" s="227">
        <f t="shared" ref="K13:K25" si="4">IF(J13="Si",100%,IF(J13="No",0,0))</f>
        <v>0</v>
      </c>
      <c r="L13" s="5" t="s">
        <v>12</v>
      </c>
      <c r="M13" s="6">
        <f t="shared" ref="M13:M25" si="5">IF(L13="Si",20%,IF(L13="No",0,0))</f>
        <v>0</v>
      </c>
      <c r="N13" s="245">
        <f>+'PRIORIZACIÓN (2)'!Q12</f>
        <v>0</v>
      </c>
      <c r="O13" s="243">
        <f t="shared" ref="O13:O25" si="6">+$C$6-N13</f>
        <v>45657</v>
      </c>
      <c r="P13" s="241">
        <f t="shared" ref="P13:P25" si="7">IF(O13&gt;=1080,30%,IF(O13&gt;=720,20%,IF(O13&gt;=360,10%,IF(O13&lt;=359,0%,0))))</f>
        <v>0.3</v>
      </c>
      <c r="Q13" s="239">
        <f t="shared" ref="Q13:Q25" si="8">IF(K13=100%,100%,(I13+M13+P13))</f>
        <v>0.8</v>
      </c>
      <c r="R13" s="27">
        <f t="shared" si="0"/>
        <v>10</v>
      </c>
    </row>
    <row r="14" spans="2:20" ht="15.75" thickBot="1" x14ac:dyDescent="0.3">
      <c r="B14" s="233" t="str">
        <f>+'PRIORIZACIÓN (2)'!B13</f>
        <v>Seguimiento a actos administrativos Internos</v>
      </c>
      <c r="C14" s="5">
        <f>+'PRIORIZACIÓN (2)'!C13</f>
        <v>0</v>
      </c>
      <c r="D14" s="1">
        <f>+'PRIORIZACIÓN (2)'!D13</f>
        <v>0</v>
      </c>
      <c r="E14" s="1">
        <f>+'PRIORIZACIÓN (2)'!E13</f>
        <v>1</v>
      </c>
      <c r="F14" s="1">
        <f>+'PRIORIZACIÓN (2)'!F13</f>
        <v>3</v>
      </c>
      <c r="G14" s="235">
        <f t="shared" si="1"/>
        <v>4</v>
      </c>
      <c r="H14" s="237" t="str">
        <f t="shared" si="2"/>
        <v>Bajo</v>
      </c>
      <c r="I14" s="6">
        <f t="shared" si="3"/>
        <v>0.1</v>
      </c>
      <c r="J14" s="8" t="s">
        <v>348</v>
      </c>
      <c r="K14" s="227">
        <f t="shared" si="4"/>
        <v>1</v>
      </c>
      <c r="L14" s="5" t="s">
        <v>12</v>
      </c>
      <c r="M14" s="6">
        <f t="shared" si="5"/>
        <v>0</v>
      </c>
      <c r="N14" s="245">
        <f>+'PRIORIZACIÓN (2)'!Q13</f>
        <v>0</v>
      </c>
      <c r="O14" s="243">
        <f t="shared" si="6"/>
        <v>45657</v>
      </c>
      <c r="P14" s="241">
        <f t="shared" si="7"/>
        <v>0.3</v>
      </c>
      <c r="Q14" s="239">
        <f t="shared" si="8"/>
        <v>1</v>
      </c>
      <c r="R14" s="27">
        <f t="shared" si="0"/>
        <v>1</v>
      </c>
    </row>
    <row r="15" spans="2:20" ht="75.75" thickBot="1" x14ac:dyDescent="0.3">
      <c r="B15" s="233" t="str">
        <f>+'PRIORIZACIÓN (2)'!B14</f>
        <v>Plan Institucional de Archivos de la Entidad PINAR - Plan Estratégico de Talento Humano - Plan de Trabajo Anual en Seguridad y Salud en el Trabajo - Sistema de Gestión de Seguridad y Salud en el Trabajo</v>
      </c>
      <c r="C15" s="5">
        <f>+'PRIORIZACIÓN (2)'!C14</f>
        <v>0</v>
      </c>
      <c r="D15" s="1">
        <f>+'PRIORIZACIÓN (2)'!D14</f>
        <v>0</v>
      </c>
      <c r="E15" s="1">
        <f>+'PRIORIZACIÓN (2)'!E14</f>
        <v>2</v>
      </c>
      <c r="F15" s="1">
        <f>+'PRIORIZACIÓN (2)'!F14</f>
        <v>3</v>
      </c>
      <c r="G15" s="235">
        <f t="shared" si="1"/>
        <v>5</v>
      </c>
      <c r="H15" s="237" t="str">
        <f t="shared" si="2"/>
        <v>Moderado</v>
      </c>
      <c r="I15" s="6">
        <f t="shared" si="3"/>
        <v>0.15</v>
      </c>
      <c r="J15" s="8" t="s">
        <v>348</v>
      </c>
      <c r="K15" s="227">
        <f t="shared" si="4"/>
        <v>1</v>
      </c>
      <c r="L15" s="5" t="s">
        <v>12</v>
      </c>
      <c r="M15" s="6">
        <f t="shared" si="5"/>
        <v>0</v>
      </c>
      <c r="N15" s="245">
        <f>+'PRIORIZACIÓN (2)'!Q14</f>
        <v>0</v>
      </c>
      <c r="O15" s="243">
        <f t="shared" si="6"/>
        <v>45657</v>
      </c>
      <c r="P15" s="241">
        <f t="shared" si="7"/>
        <v>0.3</v>
      </c>
      <c r="Q15" s="239">
        <f t="shared" si="8"/>
        <v>1</v>
      </c>
      <c r="R15" s="27">
        <f t="shared" si="0"/>
        <v>1</v>
      </c>
    </row>
    <row r="16" spans="2:20" ht="60.75" thickBot="1" x14ac:dyDescent="0.3">
      <c r="B16" s="233" t="str">
        <f>+'PRIORIZACIÓN (2)'!B15</f>
        <v>Plan Estratégico de Tecnologías de la Información y las Comunicaciones ­ PETI - Plan de Tratamiento de Riesgos de Seguridad y Privacidad de la Información - Plan de Seguridad y Privacidad de la Información</v>
      </c>
      <c r="C16" s="5">
        <f>+'PRIORIZACIÓN (2)'!C15</f>
        <v>0</v>
      </c>
      <c r="D16" s="1">
        <f>+'PRIORIZACIÓN (2)'!D15</f>
        <v>0</v>
      </c>
      <c r="E16" s="1">
        <f>+'PRIORIZACIÓN (2)'!E15</f>
        <v>2</v>
      </c>
      <c r="F16" s="1">
        <f>+'PRIORIZACIÓN (2)'!F15</f>
        <v>3</v>
      </c>
      <c r="G16" s="235">
        <f t="shared" si="1"/>
        <v>5</v>
      </c>
      <c r="H16" s="237" t="str">
        <f t="shared" si="2"/>
        <v>Moderado</v>
      </c>
      <c r="I16" s="6">
        <f t="shared" si="3"/>
        <v>0.15</v>
      </c>
      <c r="J16" s="8" t="s">
        <v>348</v>
      </c>
      <c r="K16" s="227">
        <f t="shared" si="4"/>
        <v>1</v>
      </c>
      <c r="L16" s="5" t="s">
        <v>12</v>
      </c>
      <c r="M16" s="6">
        <f t="shared" si="5"/>
        <v>0</v>
      </c>
      <c r="N16" s="245">
        <f>+'PRIORIZACIÓN (2)'!Q15</f>
        <v>0</v>
      </c>
      <c r="O16" s="243">
        <f t="shared" si="6"/>
        <v>45657</v>
      </c>
      <c r="P16" s="241">
        <f t="shared" si="7"/>
        <v>0.3</v>
      </c>
      <c r="Q16" s="239">
        <f t="shared" si="8"/>
        <v>1</v>
      </c>
      <c r="R16" s="27">
        <f t="shared" si="0"/>
        <v>1</v>
      </c>
    </row>
    <row r="17" spans="2:18" ht="90.75" thickBot="1" x14ac:dyDescent="0.3">
      <c r="B17" s="233" t="str">
        <f>+'PRIORIZACIÓN (2)'!B16</f>
        <v>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v>
      </c>
      <c r="C17" s="5">
        <f>+'PRIORIZACIÓN (2)'!C16</f>
        <v>0</v>
      </c>
      <c r="D17" s="1">
        <f>+'PRIORIZACIÓN (2)'!D16</f>
        <v>0</v>
      </c>
      <c r="E17" s="1">
        <f>+'PRIORIZACIÓN (2)'!E16</f>
        <v>2</v>
      </c>
      <c r="F17" s="1">
        <f>+'PRIORIZACIÓN (2)'!F16</f>
        <v>3</v>
      </c>
      <c r="G17" s="235">
        <f t="shared" si="1"/>
        <v>5</v>
      </c>
      <c r="H17" s="237" t="str">
        <f t="shared" si="2"/>
        <v>Moderado</v>
      </c>
      <c r="I17" s="6">
        <f t="shared" si="3"/>
        <v>0.15</v>
      </c>
      <c r="J17" s="8" t="s">
        <v>348</v>
      </c>
      <c r="K17" s="227">
        <f t="shared" si="4"/>
        <v>1</v>
      </c>
      <c r="L17" s="5" t="s">
        <v>12</v>
      </c>
      <c r="M17" s="6">
        <f t="shared" si="5"/>
        <v>0</v>
      </c>
      <c r="N17" s="245">
        <f>+'PRIORIZACIÓN (2)'!Q16</f>
        <v>0</v>
      </c>
      <c r="O17" s="243">
        <f t="shared" si="6"/>
        <v>45657</v>
      </c>
      <c r="P17" s="241">
        <f t="shared" si="7"/>
        <v>0.3</v>
      </c>
      <c r="Q17" s="239">
        <f t="shared" si="8"/>
        <v>1</v>
      </c>
      <c r="R17" s="27">
        <f t="shared" si="0"/>
        <v>1</v>
      </c>
    </row>
    <row r="18" spans="2:18" ht="15.75" thickBot="1" x14ac:dyDescent="0.3">
      <c r="B18" s="233" t="str">
        <f>+'PRIORIZACIÓN (2)'!B17</f>
        <v>Seguimiento adjudicación San Victorino</v>
      </c>
      <c r="C18" s="5">
        <f>+'PRIORIZACIÓN (2)'!C17</f>
        <v>4</v>
      </c>
      <c r="D18" s="1">
        <f>+'PRIORIZACIÓN (2)'!D17</f>
        <v>0</v>
      </c>
      <c r="E18" s="1">
        <f>+'PRIORIZACIÓN (2)'!E17</f>
        <v>0</v>
      </c>
      <c r="F18" s="1">
        <f>+'PRIORIZACIÓN (2)'!F17</f>
        <v>1</v>
      </c>
      <c r="G18" s="235">
        <f t="shared" si="1"/>
        <v>5</v>
      </c>
      <c r="H18" s="237" t="str">
        <f t="shared" si="2"/>
        <v>Extremo</v>
      </c>
      <c r="I18" s="6">
        <f t="shared" si="3"/>
        <v>0.5</v>
      </c>
      <c r="J18" s="8" t="s">
        <v>12</v>
      </c>
      <c r="K18" s="227">
        <f t="shared" si="4"/>
        <v>0</v>
      </c>
      <c r="L18" s="5" t="s">
        <v>12</v>
      </c>
      <c r="M18" s="6">
        <f t="shared" si="5"/>
        <v>0</v>
      </c>
      <c r="N18" s="245">
        <f>+'PRIORIZACIÓN (2)'!Q17</f>
        <v>0</v>
      </c>
      <c r="O18" s="243">
        <f t="shared" si="6"/>
        <v>45657</v>
      </c>
      <c r="P18" s="241">
        <f t="shared" si="7"/>
        <v>0.3</v>
      </c>
      <c r="Q18" s="239">
        <f t="shared" si="8"/>
        <v>0.8</v>
      </c>
      <c r="R18" s="27">
        <f t="shared" si="0"/>
        <v>10</v>
      </c>
    </row>
    <row r="19" spans="2:18" ht="15.75" thickBot="1" x14ac:dyDescent="0.3">
      <c r="B19" s="233" t="str">
        <f>+'PRIORIZACIÓN (2)'!B18</f>
        <v>Seguimiento estado Obra Alcaldia Mártires</v>
      </c>
      <c r="C19" s="5">
        <f>+'PRIORIZACIÓN (2)'!C18</f>
        <v>4</v>
      </c>
      <c r="D19" s="1">
        <f>+'PRIORIZACIÓN (2)'!D18</f>
        <v>0</v>
      </c>
      <c r="E19" s="1">
        <f>+'PRIORIZACIÓN (2)'!E18</f>
        <v>0</v>
      </c>
      <c r="F19" s="1">
        <f>+'PRIORIZACIÓN (2)'!F18</f>
        <v>1</v>
      </c>
      <c r="G19" s="235">
        <f t="shared" si="1"/>
        <v>5</v>
      </c>
      <c r="H19" s="237" t="str">
        <f t="shared" si="2"/>
        <v>Extremo</v>
      </c>
      <c r="I19" s="6">
        <f t="shared" si="3"/>
        <v>0.5</v>
      </c>
      <c r="J19" s="8" t="s">
        <v>12</v>
      </c>
      <c r="K19" s="227">
        <f t="shared" si="4"/>
        <v>0</v>
      </c>
      <c r="L19" s="5" t="s">
        <v>12</v>
      </c>
      <c r="M19" s="6">
        <f t="shared" si="5"/>
        <v>0</v>
      </c>
      <c r="N19" s="245">
        <f>+'PRIORIZACIÓN (2)'!Q18</f>
        <v>0</v>
      </c>
      <c r="O19" s="243">
        <f t="shared" si="6"/>
        <v>45657</v>
      </c>
      <c r="P19" s="241">
        <f t="shared" si="7"/>
        <v>0.3</v>
      </c>
      <c r="Q19" s="239">
        <f t="shared" si="8"/>
        <v>0.8</v>
      </c>
      <c r="R19" s="27">
        <f t="shared" si="0"/>
        <v>10</v>
      </c>
    </row>
    <row r="20" spans="2:18" ht="15.75" thickBot="1" x14ac:dyDescent="0.3">
      <c r="B20" s="233" t="str">
        <f>+'PRIORIZACIÓN (2)'!B19</f>
        <v>Seguimiento rol Empresa Ciudadela del Cuidado</v>
      </c>
      <c r="C20" s="5">
        <f>+'PRIORIZACIÓN (2)'!C19</f>
        <v>4</v>
      </c>
      <c r="D20" s="1">
        <f>+'PRIORIZACIÓN (2)'!D19</f>
        <v>0</v>
      </c>
      <c r="E20" s="1">
        <f>+'PRIORIZACIÓN (2)'!E19</f>
        <v>0</v>
      </c>
      <c r="F20" s="1">
        <f>+'PRIORIZACIÓN (2)'!F19</f>
        <v>1</v>
      </c>
      <c r="G20" s="235">
        <f t="shared" si="1"/>
        <v>5</v>
      </c>
      <c r="H20" s="237" t="str">
        <f t="shared" si="2"/>
        <v>Extremo</v>
      </c>
      <c r="I20" s="6">
        <f t="shared" si="3"/>
        <v>0.5</v>
      </c>
      <c r="J20" s="8" t="s">
        <v>12</v>
      </c>
      <c r="K20" s="227">
        <f t="shared" si="4"/>
        <v>0</v>
      </c>
      <c r="L20" s="5" t="s">
        <v>12</v>
      </c>
      <c r="M20" s="6">
        <f t="shared" si="5"/>
        <v>0</v>
      </c>
      <c r="N20" s="245">
        <f>+'PRIORIZACIÓN (2)'!Q19</f>
        <v>0</v>
      </c>
      <c r="O20" s="243">
        <f t="shared" si="6"/>
        <v>45657</v>
      </c>
      <c r="P20" s="241">
        <f t="shared" si="7"/>
        <v>0.3</v>
      </c>
      <c r="Q20" s="239">
        <f t="shared" si="8"/>
        <v>0.8</v>
      </c>
      <c r="R20" s="27">
        <f t="shared" si="0"/>
        <v>10</v>
      </c>
    </row>
    <row r="21" spans="2:18" ht="30.75" thickBot="1" x14ac:dyDescent="0.3">
      <c r="B21" s="233" t="str">
        <f>+'PRIORIZACIÓN (2)'!B20</f>
        <v xml:space="preserve">Apoyo realización comité de auditoría y seguimiento de los compromisos establecidos </v>
      </c>
      <c r="C21" s="5">
        <f>+'PRIORIZACIÓN (2)'!C20</f>
        <v>0</v>
      </c>
      <c r="D21" s="1">
        <f>+'PRIORIZACIÓN (2)'!D20</f>
        <v>0</v>
      </c>
      <c r="E21" s="1">
        <f>+'PRIORIZACIÓN (2)'!E20</f>
        <v>2</v>
      </c>
      <c r="F21" s="1">
        <f>+'PRIORIZACIÓN (2)'!F20</f>
        <v>3</v>
      </c>
      <c r="G21" s="235">
        <f t="shared" si="1"/>
        <v>5</v>
      </c>
      <c r="H21" s="237" t="str">
        <f t="shared" si="2"/>
        <v>Moderado</v>
      </c>
      <c r="I21" s="6">
        <f t="shared" si="3"/>
        <v>0.15</v>
      </c>
      <c r="J21" s="8" t="s">
        <v>348</v>
      </c>
      <c r="K21" s="227">
        <f t="shared" si="4"/>
        <v>1</v>
      </c>
      <c r="L21" s="5" t="s">
        <v>12</v>
      </c>
      <c r="M21" s="6">
        <f t="shared" si="5"/>
        <v>0</v>
      </c>
      <c r="N21" s="245">
        <f>+'PRIORIZACIÓN (2)'!Q20</f>
        <v>0</v>
      </c>
      <c r="O21" s="243">
        <f t="shared" si="6"/>
        <v>45657</v>
      </c>
      <c r="P21" s="241">
        <f t="shared" si="7"/>
        <v>0.3</v>
      </c>
      <c r="Q21" s="239">
        <f t="shared" si="8"/>
        <v>1</v>
      </c>
      <c r="R21" s="27">
        <f t="shared" si="0"/>
        <v>1</v>
      </c>
    </row>
    <row r="22" spans="2:18" ht="75.75" thickBot="1" x14ac:dyDescent="0.3">
      <c r="B22" s="233" t="str">
        <f>+'PRIORIZACIÓN (2)'!B21</f>
        <v>Proceso adquisición de suelo por enajenación voluntaria, expropiación administrativa o judicial - Adquisición proyectos Tercera Concurrencia - Adquisición proyecto San Bernardo Tercer Milenio AMD 1 – Convenio 3151-2019 suscrito con el IDRD.</v>
      </c>
      <c r="C22" s="5">
        <f>+'PRIORIZACIÓN (2)'!C21</f>
        <v>3</v>
      </c>
      <c r="D22" s="1">
        <f>+'PRIORIZACIÓN (2)'!D21</f>
        <v>0</v>
      </c>
      <c r="E22" s="1">
        <f>+'PRIORIZACIÓN (2)'!E21</f>
        <v>0</v>
      </c>
      <c r="F22" s="1">
        <f>+'PRIORIZACIÓN (2)'!F21</f>
        <v>1</v>
      </c>
      <c r="G22" s="235">
        <f>SUM(C22:F22)</f>
        <v>4</v>
      </c>
      <c r="H22" s="237" t="str">
        <f>+IF(($C22/$G22)&gt;=0.2,"Extremo",+IF((($C22/G22)+($D22/$G22))&gt;=0.3,"Alto",+IF((($C22/$G22)+($D22/$G22)+($E22/$G22))&gt;=0.4,"Moderado",+IF(($C22/$G22)+($D22/$G22)+($E22/$G22)+($F22/$G22)&gt;=0.5,"Bajo",""))))</f>
        <v>Extremo</v>
      </c>
      <c r="I22" s="6">
        <f>(IF(H22="Extremo",50%,(IF(H22="Alto",40%,IF(H22="Moderado",15%,IF(H22="Bajo",10%,0))))))</f>
        <v>0.5</v>
      </c>
      <c r="J22" s="8" t="s">
        <v>12</v>
      </c>
      <c r="K22" s="227">
        <f>IF(J22="Si",100%,IF(J22="No",0,0))</f>
        <v>0</v>
      </c>
      <c r="L22" s="5" t="s">
        <v>12</v>
      </c>
      <c r="M22" s="6">
        <f>IF(L22="Si",20%,IF(L22="No",0,0))</f>
        <v>0</v>
      </c>
      <c r="N22" s="245">
        <f>+'PRIORIZACIÓN (2)'!Q21</f>
        <v>0</v>
      </c>
      <c r="O22" s="243">
        <f>+$C$6-N22</f>
        <v>45657</v>
      </c>
      <c r="P22" s="241">
        <f>IF(O22&gt;=1080,30%,IF(O22&gt;=720,20%,IF(O22&gt;=360,10%,IF(O22&lt;=359,0%,0))))</f>
        <v>0.3</v>
      </c>
      <c r="Q22" s="239">
        <f t="shared" si="8"/>
        <v>0.8</v>
      </c>
      <c r="R22" s="27">
        <f t="shared" si="0"/>
        <v>10</v>
      </c>
    </row>
    <row r="23" spans="2:18" ht="30.75" thickBot="1" x14ac:dyDescent="0.3">
      <c r="B23" s="233" t="str">
        <f>+'PRIORIZACIÓN (2)'!B22</f>
        <v>Maduración y Calidad en la construccion del anexo técnico para los proyectos - gestión contractual</v>
      </c>
      <c r="C23" s="5">
        <f>+'PRIORIZACIÓN (2)'!C22</f>
        <v>0</v>
      </c>
      <c r="D23" s="1">
        <f>+'PRIORIZACIÓN (2)'!D22</f>
        <v>0</v>
      </c>
      <c r="E23" s="1">
        <f>+'PRIORIZACIÓN (2)'!E22</f>
        <v>2</v>
      </c>
      <c r="F23" s="1">
        <f>+'PRIORIZACIÓN (2)'!F22</f>
        <v>3</v>
      </c>
      <c r="G23" s="235">
        <f>SUM(C23:F23)</f>
        <v>5</v>
      </c>
      <c r="H23" s="237" t="str">
        <f>+IF(($C23/$G23)&gt;=0.2,"Extremo",+IF((($C23/G23)+($D23/$G23))&gt;=0.3,"Alto",+IF((($C23/$G23)+($D23/$G23)+($E23/$G23))&gt;=0.4,"Moderado",+IF(($C23/$G23)+($D23/$G23)+($E23/$G23)+($F23/$G23)&gt;=0.5,"Bajo",""))))</f>
        <v>Moderado</v>
      </c>
      <c r="I23" s="6">
        <f>(IF(H23="Extremo",50%,(IF(H23="Alto",40%,IF(H23="Moderado",15%,IF(H23="Bajo",10%,0))))))</f>
        <v>0.15</v>
      </c>
      <c r="J23" s="8" t="s">
        <v>348</v>
      </c>
      <c r="K23" s="227">
        <f>IF(J23="Si",100%,IF(J23="No",0,0))</f>
        <v>1</v>
      </c>
      <c r="L23" s="5" t="s">
        <v>12</v>
      </c>
      <c r="M23" s="6">
        <f>IF(L23="Si",20%,IF(L23="No",0,0))</f>
        <v>0</v>
      </c>
      <c r="N23" s="245">
        <f>+'PRIORIZACIÓN (2)'!Q22</f>
        <v>0</v>
      </c>
      <c r="O23" s="243">
        <f>+$C$6-N23</f>
        <v>45657</v>
      </c>
      <c r="P23" s="241">
        <f>IF(O23&gt;=1080,30%,IF(O23&gt;=720,20%,IF(O23&gt;=360,10%,IF(O23&lt;=359,0%,0))))</f>
        <v>0.3</v>
      </c>
      <c r="Q23" s="239">
        <f>IF(K23=100%,100%,(I23+M23+P23))</f>
        <v>1</v>
      </c>
      <c r="R23" s="27">
        <f t="shared" si="0"/>
        <v>1</v>
      </c>
    </row>
    <row r="24" spans="2:18" ht="15.75" thickBot="1" x14ac:dyDescent="0.3">
      <c r="B24" s="233" t="e">
        <f>+'PRIORIZACIÓN (2)'!B23</f>
        <v>#REF!</v>
      </c>
      <c r="C24" s="5">
        <f>+'PRIORIZACIÓN (2)'!C23</f>
        <v>0</v>
      </c>
      <c r="D24" s="1">
        <f>+'PRIORIZACIÓN (2)'!D23</f>
        <v>0</v>
      </c>
      <c r="E24" s="1">
        <f>+'PRIORIZACIÓN (2)'!E23</f>
        <v>2</v>
      </c>
      <c r="F24" s="1">
        <f>+'PRIORIZACIÓN (2)'!F23</f>
        <v>3</v>
      </c>
      <c r="G24" s="235">
        <f t="shared" si="1"/>
        <v>5</v>
      </c>
      <c r="H24" s="237" t="str">
        <f t="shared" si="2"/>
        <v>Moderado</v>
      </c>
      <c r="I24" s="6">
        <f t="shared" si="3"/>
        <v>0.15</v>
      </c>
      <c r="J24" s="8" t="s">
        <v>348</v>
      </c>
      <c r="K24" s="227">
        <f t="shared" si="4"/>
        <v>1</v>
      </c>
      <c r="L24" s="5" t="s">
        <v>12</v>
      </c>
      <c r="M24" s="6">
        <f t="shared" si="5"/>
        <v>0</v>
      </c>
      <c r="N24" s="245">
        <f>+'PRIORIZACIÓN (2)'!Q23</f>
        <v>0</v>
      </c>
      <c r="O24" s="243">
        <f t="shared" si="6"/>
        <v>45657</v>
      </c>
      <c r="P24" s="241">
        <f t="shared" si="7"/>
        <v>0.3</v>
      </c>
      <c r="Q24" s="239">
        <f t="shared" si="8"/>
        <v>1</v>
      </c>
      <c r="R24" s="27">
        <f t="shared" si="0"/>
        <v>1</v>
      </c>
    </row>
    <row r="25" spans="2:18" ht="30.75" thickBot="1" x14ac:dyDescent="0.3">
      <c r="B25" s="233" t="str">
        <f>+'PRIORIZACIÓN (2)'!B24</f>
        <v>Auditoria implementación sistema de información SIM</v>
      </c>
      <c r="C25" s="5">
        <f>+'PRIORIZACIÓN (2)'!C24</f>
        <v>1</v>
      </c>
      <c r="D25" s="1">
        <f>+'PRIORIZACIÓN (2)'!D24</f>
        <v>0</v>
      </c>
      <c r="E25" s="1">
        <f>+'PRIORIZACIÓN (2)'!E24</f>
        <v>1</v>
      </c>
      <c r="F25" s="1">
        <f>+'PRIORIZACIÓN (2)'!F24</f>
        <v>2</v>
      </c>
      <c r="G25" s="235">
        <f t="shared" si="1"/>
        <v>4</v>
      </c>
      <c r="H25" s="237" t="str">
        <f t="shared" si="2"/>
        <v>Extremo</v>
      </c>
      <c r="I25" s="6">
        <f t="shared" si="3"/>
        <v>0.5</v>
      </c>
      <c r="J25" s="8" t="s">
        <v>12</v>
      </c>
      <c r="K25" s="227">
        <f t="shared" si="4"/>
        <v>0</v>
      </c>
      <c r="L25" s="5" t="s">
        <v>12</v>
      </c>
      <c r="M25" s="6">
        <f t="shared" si="5"/>
        <v>0</v>
      </c>
      <c r="N25" s="245">
        <f>+'PRIORIZACIÓN (2)'!Q24</f>
        <v>0</v>
      </c>
      <c r="O25" s="243">
        <f t="shared" si="6"/>
        <v>45657</v>
      </c>
      <c r="P25" s="241">
        <f t="shared" si="7"/>
        <v>0.3</v>
      </c>
      <c r="Q25" s="239">
        <f t="shared" si="8"/>
        <v>0.8</v>
      </c>
      <c r="R25" s="27">
        <f t="shared" si="0"/>
        <v>10</v>
      </c>
    </row>
    <row r="26" spans="2:18" ht="30.75" thickBot="1" x14ac:dyDescent="0.3">
      <c r="B26" s="233" t="str">
        <f>+'PRIORIZACIÓN (2)'!B25</f>
        <v>Auditoria proyecto misional 1 (proyecto san Bernardo)</v>
      </c>
      <c r="C26" s="5">
        <f>+'PRIORIZACIÓN (2)'!C25</f>
        <v>1</v>
      </c>
      <c r="D26" s="1">
        <f>+'PRIORIZACIÓN (2)'!D25</f>
        <v>0</v>
      </c>
      <c r="E26" s="1">
        <f>+'PRIORIZACIÓN (2)'!E25</f>
        <v>1</v>
      </c>
      <c r="F26" s="1">
        <f>+'PRIORIZACIÓN (2)'!F25</f>
        <v>2</v>
      </c>
      <c r="G26" s="235">
        <f t="shared" ref="G26:G34" si="9">SUM(C26:F26)</f>
        <v>4</v>
      </c>
      <c r="H26" s="237" t="str">
        <f t="shared" ref="H26:H34" si="10">+IF(($C26/$G26)&gt;=0.2,"Extremo",+IF((($C26/G26)+($D26/$G26))&gt;=0.3,"Alto",+IF((($C26/$G26)+($D26/$G26)+($E26/$G26))&gt;=0.4,"Moderado",+IF(($C26/$G26)+($D26/$G26)+($E26/$G26)+($F26/$G26)&gt;=0.5,"Bajo",""))))</f>
        <v>Extremo</v>
      </c>
      <c r="I26" s="6">
        <f t="shared" ref="I26:I34" si="11">(IF(H26="Extremo",50%,(IF(H26="Alto",40%,IF(H26="Moderado",15%,IF(H26="Bajo",10%,0))))))</f>
        <v>0.5</v>
      </c>
      <c r="J26" s="8" t="s">
        <v>12</v>
      </c>
      <c r="K26" s="227">
        <f t="shared" ref="K26:K34" si="12">IF(J26="Si",100%,IF(J26="No",0,0))</f>
        <v>0</v>
      </c>
      <c r="L26" s="5" t="s">
        <v>12</v>
      </c>
      <c r="M26" s="6">
        <f t="shared" ref="M26:M34" si="13">IF(L26="Si",20%,IF(L26="No",0,0))</f>
        <v>0</v>
      </c>
      <c r="N26" s="245">
        <f>+'PRIORIZACIÓN (2)'!Q25</f>
        <v>0</v>
      </c>
      <c r="O26" s="243">
        <f t="shared" ref="O26:O34" si="14">+$C$6-N26</f>
        <v>45657</v>
      </c>
      <c r="P26" s="241">
        <f t="shared" ref="P26:P34" si="15">IF(O26&gt;=1080,30%,IF(O26&gt;=720,20%,IF(O26&gt;=360,10%,IF(O26&lt;=359,0%,0))))</f>
        <v>0.3</v>
      </c>
      <c r="Q26" s="239">
        <f t="shared" ref="Q26:Q34" si="16">IF(K26=100%,100%,(I26+M26+P26))</f>
        <v>0.8</v>
      </c>
      <c r="R26" s="27">
        <f t="shared" si="0"/>
        <v>10</v>
      </c>
    </row>
    <row r="27" spans="2:18" ht="30.75" thickBot="1" x14ac:dyDescent="0.3">
      <c r="B27" s="233" t="str">
        <f>+'PRIORIZACIÓN (2)'!B26</f>
        <v>Auditoria proyecto misional 2 (Actuaciones Estrategicas)</v>
      </c>
      <c r="C27" s="5">
        <f>+'PRIORIZACIÓN (2)'!C26</f>
        <v>1</v>
      </c>
      <c r="D27" s="1">
        <f>+'PRIORIZACIÓN (2)'!D26</f>
        <v>0</v>
      </c>
      <c r="E27" s="1">
        <f>+'PRIORIZACIÓN (2)'!E26</f>
        <v>1</v>
      </c>
      <c r="F27" s="1">
        <f>+'PRIORIZACIÓN (2)'!F26</f>
        <v>2</v>
      </c>
      <c r="G27" s="235">
        <f t="shared" si="9"/>
        <v>4</v>
      </c>
      <c r="H27" s="237" t="str">
        <f t="shared" si="10"/>
        <v>Extremo</v>
      </c>
      <c r="I27" s="6">
        <f t="shared" si="11"/>
        <v>0.5</v>
      </c>
      <c r="J27" s="8" t="s">
        <v>12</v>
      </c>
      <c r="K27" s="227">
        <f t="shared" si="12"/>
        <v>0</v>
      </c>
      <c r="L27" s="5" t="s">
        <v>12</v>
      </c>
      <c r="M27" s="6">
        <f t="shared" si="13"/>
        <v>0</v>
      </c>
      <c r="N27" s="245">
        <f>+'PRIORIZACIÓN (2)'!Q26</f>
        <v>0</v>
      </c>
      <c r="O27" s="243">
        <f t="shared" si="14"/>
        <v>45657</v>
      </c>
      <c r="P27" s="241">
        <f t="shared" si="15"/>
        <v>0.3</v>
      </c>
      <c r="Q27" s="239">
        <f t="shared" si="16"/>
        <v>0.8</v>
      </c>
      <c r="R27" s="27">
        <f t="shared" si="0"/>
        <v>10</v>
      </c>
    </row>
    <row r="28" spans="2:18" ht="15.75" thickBot="1" x14ac:dyDescent="0.3">
      <c r="B28" s="233" t="str">
        <f>+'PRIORIZACIÓN (2)'!B27</f>
        <v>Auditoria de Gestión Contractual</v>
      </c>
      <c r="C28" s="5">
        <f>+'PRIORIZACIÓN (2)'!C27</f>
        <v>0</v>
      </c>
      <c r="D28" s="1">
        <f>+'PRIORIZACIÓN (2)'!D27</f>
        <v>1</v>
      </c>
      <c r="E28" s="1">
        <f>+'PRIORIZACIÓN (2)'!E27</f>
        <v>1</v>
      </c>
      <c r="F28" s="1">
        <f>+'PRIORIZACIÓN (2)'!F27</f>
        <v>4</v>
      </c>
      <c r="G28" s="235">
        <f t="shared" si="9"/>
        <v>6</v>
      </c>
      <c r="H28" s="237" t="str">
        <f t="shared" si="10"/>
        <v>Bajo</v>
      </c>
      <c r="I28" s="6">
        <f t="shared" si="11"/>
        <v>0.1</v>
      </c>
      <c r="J28" s="8" t="s">
        <v>348</v>
      </c>
      <c r="K28" s="227">
        <f t="shared" si="12"/>
        <v>1</v>
      </c>
      <c r="L28" s="5" t="s">
        <v>12</v>
      </c>
      <c r="M28" s="6">
        <f t="shared" si="13"/>
        <v>0</v>
      </c>
      <c r="N28" s="245">
        <f>+'PRIORIZACIÓN (2)'!Q27</f>
        <v>0</v>
      </c>
      <c r="O28" s="243">
        <f t="shared" si="14"/>
        <v>45657</v>
      </c>
      <c r="P28" s="241">
        <f t="shared" si="15"/>
        <v>0.3</v>
      </c>
      <c r="Q28" s="239">
        <f t="shared" si="16"/>
        <v>1</v>
      </c>
      <c r="R28" s="27">
        <f t="shared" si="0"/>
        <v>1</v>
      </c>
    </row>
    <row r="29" spans="2:18" ht="30.75" thickBot="1" x14ac:dyDescent="0.3">
      <c r="B29" s="233" t="str">
        <f>+'PRIORIZACIÓN (2)'!B28</f>
        <v>Auditoria proceso administrativo 1 (Esquema Fiduciario)</v>
      </c>
      <c r="C29" s="5">
        <f>+'PRIORIZACIÓN (2)'!C28</f>
        <v>0</v>
      </c>
      <c r="D29" s="1">
        <f>+'PRIORIZACIÓN (2)'!D28</f>
        <v>1</v>
      </c>
      <c r="E29" s="1">
        <f>+'PRIORIZACIÓN (2)'!E28</f>
        <v>1</v>
      </c>
      <c r="F29" s="1">
        <f>+'PRIORIZACIÓN (2)'!F28</f>
        <v>1</v>
      </c>
      <c r="G29" s="235">
        <f t="shared" si="9"/>
        <v>3</v>
      </c>
      <c r="H29" s="237" t="str">
        <f t="shared" si="10"/>
        <v>Alto</v>
      </c>
      <c r="I29" s="6">
        <f t="shared" si="11"/>
        <v>0.4</v>
      </c>
      <c r="J29" s="8" t="s">
        <v>348</v>
      </c>
      <c r="K29" s="227">
        <f t="shared" si="12"/>
        <v>1</v>
      </c>
      <c r="L29" s="5" t="s">
        <v>12</v>
      </c>
      <c r="M29" s="6">
        <f t="shared" si="13"/>
        <v>0</v>
      </c>
      <c r="N29" s="245">
        <f>+'PRIORIZACIÓN (2)'!Q28</f>
        <v>0</v>
      </c>
      <c r="O29" s="243">
        <f t="shared" si="14"/>
        <v>45657</v>
      </c>
      <c r="P29" s="241">
        <f t="shared" si="15"/>
        <v>0.3</v>
      </c>
      <c r="Q29" s="239">
        <f t="shared" si="16"/>
        <v>1</v>
      </c>
      <c r="R29" s="27">
        <f t="shared" si="0"/>
        <v>1</v>
      </c>
    </row>
    <row r="30" spans="2:18" ht="30.75" thickBot="1" x14ac:dyDescent="0.3">
      <c r="B30" s="233" t="str">
        <f>+'PRIORIZACIÓN (2)'!B29</f>
        <v>Alcaldía los Mártires - Avance Obra - Cumplimiento cronogramas y ejecución presupuestal</v>
      </c>
      <c r="C30" s="5">
        <f>+'PRIORIZACIÓN (2)'!C29</f>
        <v>1</v>
      </c>
      <c r="D30" s="1">
        <f>+'PRIORIZACIÓN (2)'!D29</f>
        <v>0</v>
      </c>
      <c r="E30" s="1">
        <f>+'PRIORIZACIÓN (2)'!E29</f>
        <v>1</v>
      </c>
      <c r="F30" s="1">
        <f>+'PRIORIZACIÓN (2)'!F29</f>
        <v>2</v>
      </c>
      <c r="G30" s="235">
        <f t="shared" si="9"/>
        <v>4</v>
      </c>
      <c r="H30" s="237" t="str">
        <f t="shared" si="10"/>
        <v>Extremo</v>
      </c>
      <c r="I30" s="6">
        <f t="shared" si="11"/>
        <v>0.5</v>
      </c>
      <c r="J30" s="8"/>
      <c r="K30" s="227">
        <f t="shared" si="12"/>
        <v>0</v>
      </c>
      <c r="L30" s="5"/>
      <c r="M30" s="6">
        <f t="shared" si="13"/>
        <v>0</v>
      </c>
      <c r="N30" s="245">
        <f>+'PRIORIZACIÓN (2)'!Q29</f>
        <v>45201</v>
      </c>
      <c r="O30" s="243">
        <f t="shared" si="14"/>
        <v>456</v>
      </c>
      <c r="P30" s="241">
        <f t="shared" si="15"/>
        <v>0.1</v>
      </c>
      <c r="Q30" s="239">
        <f t="shared" si="16"/>
        <v>0.6</v>
      </c>
      <c r="R30" s="27">
        <f>+RANK(Q30,$Q$12:$Q$55,0)</f>
        <v>28</v>
      </c>
    </row>
    <row r="31" spans="2:18" ht="45.75" thickBot="1" x14ac:dyDescent="0.3">
      <c r="B31" s="233" t="str">
        <f>+'PRIORIZACIÓN (2)'!B30</f>
        <v>Bronx Distrito Creativo  - Avance Obra - Cumplimiento cronogramas y ejecución presupuestal</v>
      </c>
      <c r="C31" s="5">
        <f>+'PRIORIZACIÓN (2)'!C30</f>
        <v>0</v>
      </c>
      <c r="D31" s="1">
        <f>+'PRIORIZACIÓN (2)'!D30</f>
        <v>1</v>
      </c>
      <c r="E31" s="1">
        <f>+'PRIORIZACIÓN (2)'!E30</f>
        <v>1</v>
      </c>
      <c r="F31" s="1">
        <f>+'PRIORIZACIÓN (2)'!F30</f>
        <v>1</v>
      </c>
      <c r="G31" s="235">
        <f t="shared" si="9"/>
        <v>3</v>
      </c>
      <c r="H31" s="237" t="str">
        <f t="shared" si="10"/>
        <v>Alto</v>
      </c>
      <c r="I31" s="6">
        <f t="shared" si="11"/>
        <v>0.4</v>
      </c>
      <c r="J31" s="8"/>
      <c r="K31" s="227">
        <f t="shared" si="12"/>
        <v>0</v>
      </c>
      <c r="L31" s="5"/>
      <c r="M31" s="6">
        <f t="shared" si="13"/>
        <v>0</v>
      </c>
      <c r="N31" s="245">
        <f>+'PRIORIZACIÓN (2)'!Q30</f>
        <v>45127</v>
      </c>
      <c r="O31" s="243">
        <f t="shared" si="14"/>
        <v>530</v>
      </c>
      <c r="P31" s="241">
        <f t="shared" si="15"/>
        <v>0.1</v>
      </c>
      <c r="Q31" s="239">
        <f t="shared" si="16"/>
        <v>0.5</v>
      </c>
      <c r="R31" s="27">
        <f t="shared" ref="R31:R55" si="17">+RANK(Q31,$Q$12:$Q$55,0)</f>
        <v>31</v>
      </c>
    </row>
    <row r="32" spans="2:18" ht="45.75" thickBot="1" x14ac:dyDescent="0.3">
      <c r="B32" s="233" t="str">
        <f>+'PRIORIZACIÓN (2)'!B31</f>
        <v>Centro de Formación para el trabajo (SENA)  - Avance Obra - Cumplimiento cronogramas y ejecución presupuestal</v>
      </c>
      <c r="C32" s="5">
        <f>+'PRIORIZACIÓN (2)'!C31</f>
        <v>0</v>
      </c>
      <c r="D32" s="1">
        <f>+'PRIORIZACIÓN (2)'!D31</f>
        <v>1</v>
      </c>
      <c r="E32" s="1">
        <f>+'PRIORIZACIÓN (2)'!E31</f>
        <v>1</v>
      </c>
      <c r="F32" s="1">
        <f>+'PRIORIZACIÓN (2)'!F31</f>
        <v>1</v>
      </c>
      <c r="G32" s="235">
        <f t="shared" si="9"/>
        <v>3</v>
      </c>
      <c r="H32" s="237" t="str">
        <f t="shared" si="10"/>
        <v>Alto</v>
      </c>
      <c r="I32" s="6">
        <f t="shared" si="11"/>
        <v>0.4</v>
      </c>
      <c r="J32" s="8"/>
      <c r="K32" s="227">
        <f t="shared" si="12"/>
        <v>0</v>
      </c>
      <c r="L32" s="5"/>
      <c r="M32" s="6">
        <f t="shared" si="13"/>
        <v>0</v>
      </c>
      <c r="N32" s="245">
        <f>+'PRIORIZACIÓN (2)'!Q31</f>
        <v>45137</v>
      </c>
      <c r="O32" s="243">
        <f t="shared" si="14"/>
        <v>520</v>
      </c>
      <c r="P32" s="241">
        <f>IF(O32&gt;=1080,30%,IF(O32&gt;=720,20%,IF(O32&gt;=360,10%,IF(O32&lt;=359,0%,0))))</f>
        <v>0.1</v>
      </c>
      <c r="Q32" s="239">
        <f t="shared" si="16"/>
        <v>0.5</v>
      </c>
      <c r="R32" s="27">
        <f t="shared" si="17"/>
        <v>31</v>
      </c>
    </row>
    <row r="33" spans="2:18" ht="30.75" thickBot="1" x14ac:dyDescent="0.3">
      <c r="B33" s="233" t="str">
        <f>+'PRIORIZACIÓN (2)'!B32</f>
        <v>Direccionamiento Estratégico y Gobierno Corporativo</v>
      </c>
      <c r="C33" s="5">
        <f>+'PRIORIZACIÓN (2)'!C32</f>
        <v>0</v>
      </c>
      <c r="D33" s="1">
        <f>+'PRIORIZACIÓN (2)'!D32</f>
        <v>0</v>
      </c>
      <c r="E33" s="1">
        <f>+'PRIORIZACIÓN (2)'!E32</f>
        <v>2</v>
      </c>
      <c r="F33" s="1">
        <f>+'PRIORIZACIÓN (2)'!F32</f>
        <v>2</v>
      </c>
      <c r="G33" s="235">
        <f t="shared" si="9"/>
        <v>4</v>
      </c>
      <c r="H33" s="237" t="str">
        <f t="shared" si="10"/>
        <v>Moderado</v>
      </c>
      <c r="I33" s="6">
        <f t="shared" si="11"/>
        <v>0.15</v>
      </c>
      <c r="J33" s="8"/>
      <c r="K33" s="227">
        <f t="shared" si="12"/>
        <v>0</v>
      </c>
      <c r="L33" s="5"/>
      <c r="M33" s="6">
        <f t="shared" si="13"/>
        <v>0</v>
      </c>
      <c r="N33" s="245">
        <f>+'PRIORIZACIÓN (2)'!Q32</f>
        <v>45076</v>
      </c>
      <c r="O33" s="243">
        <f t="shared" si="14"/>
        <v>581</v>
      </c>
      <c r="P33" s="241">
        <f t="shared" si="15"/>
        <v>0.1</v>
      </c>
      <c r="Q33" s="239">
        <f>IF(K33=100%,100%,(I33+M33+P33))</f>
        <v>0.25</v>
      </c>
      <c r="R33" s="27">
        <f t="shared" si="17"/>
        <v>42</v>
      </c>
    </row>
    <row r="34" spans="2:18" ht="15.75" thickBot="1" x14ac:dyDescent="0.3">
      <c r="B34" s="233" t="str">
        <f>+'PRIORIZACIÓN (2)'!B33</f>
        <v>Seguimiento Cumplimiento Norma Archivística ERU</v>
      </c>
      <c r="C34" s="5">
        <f>+'PRIORIZACIÓN (2)'!C33</f>
        <v>1</v>
      </c>
      <c r="D34" s="1">
        <f>+'PRIORIZACIÓN (2)'!D33</f>
        <v>0</v>
      </c>
      <c r="E34" s="1">
        <f>+'PRIORIZACIÓN (2)'!E33</f>
        <v>0</v>
      </c>
      <c r="F34" s="1">
        <f>+'PRIORIZACIÓN (2)'!F33</f>
        <v>3</v>
      </c>
      <c r="G34" s="235">
        <f t="shared" si="9"/>
        <v>4</v>
      </c>
      <c r="H34" s="237" t="str">
        <f t="shared" si="10"/>
        <v>Extremo</v>
      </c>
      <c r="I34" s="6">
        <f t="shared" si="11"/>
        <v>0.5</v>
      </c>
      <c r="J34" s="8"/>
      <c r="K34" s="227">
        <f t="shared" si="12"/>
        <v>0</v>
      </c>
      <c r="L34" s="5"/>
      <c r="M34" s="6">
        <f t="shared" si="13"/>
        <v>0</v>
      </c>
      <c r="N34" s="245">
        <f>+'PRIORIZACIÓN (2)'!Q33</f>
        <v>45093</v>
      </c>
      <c r="O34" s="243">
        <f t="shared" si="14"/>
        <v>564</v>
      </c>
      <c r="P34" s="241">
        <f t="shared" si="15"/>
        <v>0.1</v>
      </c>
      <c r="Q34" s="239">
        <f t="shared" si="16"/>
        <v>0.6</v>
      </c>
      <c r="R34" s="27">
        <f t="shared" si="17"/>
        <v>28</v>
      </c>
    </row>
    <row r="35" spans="2:18" ht="15.75" thickBot="1" x14ac:dyDescent="0.3">
      <c r="B35" s="233" t="str">
        <f>+'PRIORIZACIÓN (2)'!B34</f>
        <v xml:space="preserve">Auditoria Gestión Suelo </v>
      </c>
      <c r="C35" s="5">
        <f>+'PRIORIZACIÓN (2)'!C34</f>
        <v>1</v>
      </c>
      <c r="D35" s="1">
        <f>+'PRIORIZACIÓN (2)'!D34</f>
        <v>0</v>
      </c>
      <c r="E35" s="1">
        <f>+'PRIORIZACIÓN (2)'!E34</f>
        <v>0</v>
      </c>
      <c r="F35" s="1">
        <f>+'PRIORIZACIÓN (2)'!F34</f>
        <v>4</v>
      </c>
      <c r="G35" s="235">
        <f t="shared" ref="G35:G49" si="18">SUM(C35:F35)</f>
        <v>5</v>
      </c>
      <c r="H35" s="237" t="str">
        <f t="shared" ref="H35:H49" si="19">+IF(($C35/$G35)&gt;=0.2,"Extremo",+IF((($C35/G35)+($D35/$G35))&gt;=0.3,"Alto",+IF((($C35/$G35)+($D35/$G35)+($E35/$G35))&gt;=0.4,"Moderado",+IF(($C35/$G35)+($D35/$G35)+($E35/$G35)+($F35/$G35)&gt;=0.5,"Bajo",""))))</f>
        <v>Extremo</v>
      </c>
      <c r="I35" s="6">
        <f t="shared" ref="I35:I49" si="20">(IF(H35="Extremo",50%,(IF(H35="Alto",40%,IF(H35="Moderado",15%,IF(H35="Bajo",10%,0))))))</f>
        <v>0.5</v>
      </c>
      <c r="J35" s="8"/>
      <c r="K35" s="227">
        <f t="shared" ref="K35:K49" si="21">IF(J35="Si",100%,IF(J35="No",0,0))</f>
        <v>0</v>
      </c>
      <c r="L35" s="5"/>
      <c r="M35" s="6">
        <f t="shared" ref="M35:M49" si="22">IF(L35="Si",20%,IF(L35="No",0,0))</f>
        <v>0</v>
      </c>
      <c r="N35" s="245">
        <f>+'PRIORIZACIÓN (2)'!Q34</f>
        <v>45259</v>
      </c>
      <c r="O35" s="243">
        <f t="shared" ref="O35:O49" si="23">+$C$6-N35</f>
        <v>398</v>
      </c>
      <c r="P35" s="241">
        <f t="shared" ref="P35:P49" si="24">IF(O35&gt;=1080,30%,IF(O35&gt;=720,20%,IF(O35&gt;=360,10%,IF(O35&lt;=359,0%,0))))</f>
        <v>0.1</v>
      </c>
      <c r="Q35" s="239">
        <f t="shared" ref="Q35:Q49" si="25">IF(K35=100%,100%,(I35+M35+P35))</f>
        <v>0.6</v>
      </c>
      <c r="R35" s="27">
        <f t="shared" si="17"/>
        <v>28</v>
      </c>
    </row>
    <row r="36" spans="2:18" ht="15.75" thickBot="1" x14ac:dyDescent="0.3">
      <c r="B36" s="233" t="str">
        <f>+'PRIORIZACIÓN (2)'!B35</f>
        <v xml:space="preserve">Sistema de Información Misional </v>
      </c>
      <c r="C36" s="5">
        <f>+'PRIORIZACIÓN (2)'!C35</f>
        <v>0</v>
      </c>
      <c r="D36" s="1">
        <f>+'PRIORIZACIÓN (2)'!D35</f>
        <v>2</v>
      </c>
      <c r="E36" s="1">
        <f>+'PRIORIZACIÓN (2)'!E35</f>
        <v>2</v>
      </c>
      <c r="F36" s="1">
        <f>+'PRIORIZACIÓN (2)'!F35</f>
        <v>2</v>
      </c>
      <c r="G36" s="235">
        <f t="shared" si="18"/>
        <v>6</v>
      </c>
      <c r="H36" s="237" t="str">
        <f t="shared" si="19"/>
        <v>Alto</v>
      </c>
      <c r="I36" s="6">
        <f t="shared" si="20"/>
        <v>0.4</v>
      </c>
      <c r="J36" s="8"/>
      <c r="K36" s="227">
        <f t="shared" si="21"/>
        <v>0</v>
      </c>
      <c r="L36" s="5"/>
      <c r="M36" s="6">
        <f t="shared" si="22"/>
        <v>0</v>
      </c>
      <c r="N36" s="245">
        <f>+'PRIORIZACIÓN (2)'!Q35</f>
        <v>45147</v>
      </c>
      <c r="O36" s="243">
        <f t="shared" si="23"/>
        <v>510</v>
      </c>
      <c r="P36" s="241">
        <f t="shared" si="24"/>
        <v>0.1</v>
      </c>
      <c r="Q36" s="239">
        <f t="shared" si="25"/>
        <v>0.5</v>
      </c>
      <c r="R36" s="27">
        <f t="shared" si="17"/>
        <v>31</v>
      </c>
    </row>
    <row r="37" spans="2:18" ht="30.75" thickBot="1" x14ac:dyDescent="0.3">
      <c r="B37" s="233" t="str">
        <f>+'PRIORIZACIÓN (2)'!B36</f>
        <v>Contratación transversal (Incluye San Victorino y Optimización Nuevo Manual de Contratación)</v>
      </c>
      <c r="C37" s="5">
        <f>+'PRIORIZACIÓN (2)'!C36</f>
        <v>0</v>
      </c>
      <c r="D37" s="1">
        <f>+'PRIORIZACIÓN (2)'!D36</f>
        <v>0</v>
      </c>
      <c r="E37" s="1">
        <f>+'PRIORIZACIÓN (2)'!E36</f>
        <v>3</v>
      </c>
      <c r="F37" s="1">
        <f>+'PRIORIZACIÓN (2)'!F36</f>
        <v>1</v>
      </c>
      <c r="G37" s="235">
        <f t="shared" si="18"/>
        <v>4</v>
      </c>
      <c r="H37" s="237" t="str">
        <f t="shared" si="19"/>
        <v>Moderado</v>
      </c>
      <c r="I37" s="6">
        <f t="shared" si="20"/>
        <v>0.15</v>
      </c>
      <c r="J37" s="8"/>
      <c r="K37" s="227">
        <f t="shared" si="21"/>
        <v>0</v>
      </c>
      <c r="L37" s="5"/>
      <c r="M37" s="6">
        <f t="shared" si="22"/>
        <v>0</v>
      </c>
      <c r="N37" s="245">
        <f>+'PRIORIZACIÓN (2)'!Q36</f>
        <v>45230</v>
      </c>
      <c r="O37" s="243">
        <f t="shared" si="23"/>
        <v>427</v>
      </c>
      <c r="P37" s="241">
        <f t="shared" si="24"/>
        <v>0.1</v>
      </c>
      <c r="Q37" s="239">
        <f t="shared" si="25"/>
        <v>0.25</v>
      </c>
      <c r="R37" s="27">
        <f t="shared" si="17"/>
        <v>42</v>
      </c>
    </row>
    <row r="38" spans="2:18" ht="15.75" thickBot="1" x14ac:dyDescent="0.3">
      <c r="B38" s="233" t="str">
        <f>+'PRIORIZACIÓN (2)'!B37</f>
        <v>Seguimiento Ejecución y avance de proyectos</v>
      </c>
      <c r="C38" s="5">
        <f>+'PRIORIZACIÓN (2)'!C37</f>
        <v>0</v>
      </c>
      <c r="D38" s="1">
        <f>+'PRIORIZACIÓN (2)'!D37</f>
        <v>0</v>
      </c>
      <c r="E38" s="1">
        <f>+'PRIORIZACIÓN (2)'!E37</f>
        <v>1</v>
      </c>
      <c r="F38" s="1">
        <f>+'PRIORIZACIÓN (2)'!F37</f>
        <v>3</v>
      </c>
      <c r="G38" s="235">
        <f t="shared" si="18"/>
        <v>4</v>
      </c>
      <c r="H38" s="237" t="str">
        <f t="shared" si="19"/>
        <v>Bajo</v>
      </c>
      <c r="I38" s="6">
        <f t="shared" si="20"/>
        <v>0.1</v>
      </c>
      <c r="J38" s="8"/>
      <c r="K38" s="227">
        <f t="shared" si="21"/>
        <v>0</v>
      </c>
      <c r="L38" s="5"/>
      <c r="M38" s="6">
        <f t="shared" si="22"/>
        <v>0</v>
      </c>
      <c r="N38" s="245">
        <f>+'PRIORIZACIÓN (2)'!Q37</f>
        <v>45260</v>
      </c>
      <c r="O38" s="243">
        <f t="shared" si="23"/>
        <v>397</v>
      </c>
      <c r="P38" s="241">
        <f t="shared" si="24"/>
        <v>0.1</v>
      </c>
      <c r="Q38" s="239">
        <f t="shared" si="25"/>
        <v>0.2</v>
      </c>
      <c r="R38" s="27">
        <f t="shared" si="17"/>
        <v>44</v>
      </c>
    </row>
    <row r="39" spans="2:18" ht="30.75" thickBot="1" x14ac:dyDescent="0.3">
      <c r="B39" s="233" t="str">
        <f>+'PRIORIZACIÓN (2)'!B38</f>
        <v>Auditoria Contratos arrendamiento - Predios San Victorino</v>
      </c>
      <c r="C39" s="5">
        <f>+'PRIORIZACIÓN (2)'!C38</f>
        <v>0</v>
      </c>
      <c r="D39" s="1">
        <f>+'PRIORIZACIÓN (2)'!D38</f>
        <v>0</v>
      </c>
      <c r="E39" s="1">
        <f>+'PRIORIZACIÓN (2)'!E38</f>
        <v>0</v>
      </c>
      <c r="F39" s="1">
        <f>+'PRIORIZACIÓN (2)'!F38</f>
        <v>3</v>
      </c>
      <c r="G39" s="235">
        <f t="shared" si="18"/>
        <v>3</v>
      </c>
      <c r="H39" s="237" t="str">
        <f t="shared" si="19"/>
        <v>Bajo</v>
      </c>
      <c r="I39" s="6">
        <f t="shared" si="20"/>
        <v>0.1</v>
      </c>
      <c r="J39" s="8"/>
      <c r="K39" s="227">
        <f t="shared" si="21"/>
        <v>0</v>
      </c>
      <c r="L39" s="5"/>
      <c r="M39" s="6">
        <f t="shared" si="22"/>
        <v>0</v>
      </c>
      <c r="N39" s="245">
        <f>+'PRIORIZACIÓN (2)'!Q38</f>
        <v>44612</v>
      </c>
      <c r="O39" s="243">
        <f t="shared" si="23"/>
        <v>1045</v>
      </c>
      <c r="P39" s="241">
        <f t="shared" si="24"/>
        <v>0.2</v>
      </c>
      <c r="Q39" s="239">
        <f t="shared" si="25"/>
        <v>0.30000000000000004</v>
      </c>
      <c r="R39" s="27">
        <f t="shared" si="17"/>
        <v>41</v>
      </c>
    </row>
    <row r="40" spans="2:18" ht="30.75" thickBot="1" x14ac:dyDescent="0.3">
      <c r="B40" s="233" t="str">
        <f>+'PRIORIZACIÓN (2)'!B39</f>
        <v>Voto Nacional (Incluye Edificio Formación para el Trabajo)</v>
      </c>
      <c r="C40" s="5">
        <f>+'PRIORIZACIÓN (2)'!C39</f>
        <v>1</v>
      </c>
      <c r="D40" s="1">
        <f>+'PRIORIZACIÓN (2)'!D39</f>
        <v>1</v>
      </c>
      <c r="E40" s="1">
        <f>+'PRIORIZACIÓN (2)'!E39</f>
        <v>1</v>
      </c>
      <c r="F40" s="1">
        <f>+'PRIORIZACIÓN (2)'!F39</f>
        <v>3</v>
      </c>
      <c r="G40" s="235">
        <f t="shared" si="18"/>
        <v>6</v>
      </c>
      <c r="H40" s="237" t="str">
        <f t="shared" si="19"/>
        <v>Alto</v>
      </c>
      <c r="I40" s="6">
        <f t="shared" si="20"/>
        <v>0.4</v>
      </c>
      <c r="J40" s="8"/>
      <c r="K40" s="227">
        <f t="shared" si="21"/>
        <v>0</v>
      </c>
      <c r="L40" s="5"/>
      <c r="M40" s="6">
        <f t="shared" si="22"/>
        <v>0</v>
      </c>
      <c r="N40" s="245">
        <f>+'PRIORIZACIÓN (2)'!Q39</f>
        <v>44696</v>
      </c>
      <c r="O40" s="243">
        <f t="shared" si="23"/>
        <v>961</v>
      </c>
      <c r="P40" s="241">
        <f t="shared" si="24"/>
        <v>0.2</v>
      </c>
      <c r="Q40" s="239">
        <f t="shared" si="25"/>
        <v>0.60000000000000009</v>
      </c>
      <c r="R40" s="27">
        <f t="shared" si="17"/>
        <v>21</v>
      </c>
    </row>
    <row r="41" spans="2:18" ht="15.75" thickBot="1" x14ac:dyDescent="0.3">
      <c r="B41" s="233" t="str">
        <f>+'PRIORIZACIÓN (2)'!B40</f>
        <v>Auditoria Proceso Terceros Concurrentes</v>
      </c>
      <c r="C41" s="5">
        <f>+'PRIORIZACIÓN (2)'!C40</f>
        <v>1</v>
      </c>
      <c r="D41" s="1">
        <f>+'PRIORIZACIÓN (2)'!D40</f>
        <v>1</v>
      </c>
      <c r="E41" s="1">
        <f>+'PRIORIZACIÓN (2)'!E40</f>
        <v>1</v>
      </c>
      <c r="F41" s="1">
        <f>+'PRIORIZACIÓN (2)'!F40</f>
        <v>3</v>
      </c>
      <c r="G41" s="235">
        <f t="shared" si="18"/>
        <v>6</v>
      </c>
      <c r="H41" s="237" t="str">
        <f t="shared" si="19"/>
        <v>Alto</v>
      </c>
      <c r="I41" s="6">
        <f t="shared" si="20"/>
        <v>0.4</v>
      </c>
      <c r="J41" s="8"/>
      <c r="K41" s="227">
        <f t="shared" si="21"/>
        <v>0</v>
      </c>
      <c r="L41" s="5"/>
      <c r="M41" s="6">
        <f t="shared" si="22"/>
        <v>0</v>
      </c>
      <c r="N41" s="245">
        <f>+'PRIORIZACIÓN (2)'!Q40</f>
        <v>44764</v>
      </c>
      <c r="O41" s="243">
        <f t="shared" si="23"/>
        <v>893</v>
      </c>
      <c r="P41" s="241">
        <f t="shared" si="24"/>
        <v>0.2</v>
      </c>
      <c r="Q41" s="239">
        <f t="shared" si="25"/>
        <v>0.60000000000000009</v>
      </c>
      <c r="R41" s="27">
        <f t="shared" si="17"/>
        <v>21</v>
      </c>
    </row>
    <row r="42" spans="2:18" ht="30.75" thickBot="1" x14ac:dyDescent="0.3">
      <c r="B42" s="233" t="str">
        <f>+'PRIORIZACIÓN (2)'!B41</f>
        <v>Sistemas de Información Misionales de la Empresa (Contratación)</v>
      </c>
      <c r="C42" s="5">
        <f>+'PRIORIZACIÓN (2)'!C41</f>
        <v>1</v>
      </c>
      <c r="D42" s="1">
        <f>+'PRIORIZACIÓN (2)'!D41</f>
        <v>1</v>
      </c>
      <c r="E42" s="1">
        <f>+'PRIORIZACIÓN (2)'!E41</f>
        <v>0</v>
      </c>
      <c r="F42" s="1">
        <f>+'PRIORIZACIÓN (2)'!F41</f>
        <v>4</v>
      </c>
      <c r="G42" s="235">
        <f t="shared" si="18"/>
        <v>6</v>
      </c>
      <c r="H42" s="237" t="str">
        <f t="shared" si="19"/>
        <v>Alto</v>
      </c>
      <c r="I42" s="6">
        <f t="shared" si="20"/>
        <v>0.4</v>
      </c>
      <c r="J42" s="8"/>
      <c r="K42" s="227">
        <f t="shared" si="21"/>
        <v>0</v>
      </c>
      <c r="L42" s="5"/>
      <c r="M42" s="6">
        <f t="shared" si="22"/>
        <v>0</v>
      </c>
      <c r="N42" s="245">
        <f>+'PRIORIZACIÓN (2)'!Q41</f>
        <v>44803</v>
      </c>
      <c r="O42" s="243">
        <f t="shared" si="23"/>
        <v>854</v>
      </c>
      <c r="P42" s="241">
        <f t="shared" si="24"/>
        <v>0.2</v>
      </c>
      <c r="Q42" s="239">
        <f t="shared" si="25"/>
        <v>0.60000000000000009</v>
      </c>
      <c r="R42" s="27">
        <f t="shared" si="17"/>
        <v>21</v>
      </c>
    </row>
    <row r="43" spans="2:18" ht="30.75" thickBot="1" x14ac:dyDescent="0.3">
      <c r="B43" s="233" t="str">
        <f>+'PRIORIZACIÓN (2)'!B42</f>
        <v>Servicios Administrativos y de apoyo - PIGA - Talento Humano -  Servicios Logísticos</v>
      </c>
      <c r="C43" s="5">
        <f>+'PRIORIZACIÓN (2)'!C42</f>
        <v>1</v>
      </c>
      <c r="D43" s="1">
        <f>+'PRIORIZACIÓN (2)'!D42</f>
        <v>1</v>
      </c>
      <c r="E43" s="1">
        <f>+'PRIORIZACIÓN (2)'!E42</f>
        <v>2</v>
      </c>
      <c r="F43" s="1">
        <f>+'PRIORIZACIÓN (2)'!F42</f>
        <v>2</v>
      </c>
      <c r="G43" s="235">
        <f t="shared" si="18"/>
        <v>6</v>
      </c>
      <c r="H43" s="237" t="str">
        <f t="shared" si="19"/>
        <v>Alto</v>
      </c>
      <c r="I43" s="6">
        <f t="shared" si="20"/>
        <v>0.4</v>
      </c>
      <c r="J43" s="8"/>
      <c r="K43" s="227">
        <f t="shared" si="21"/>
        <v>0</v>
      </c>
      <c r="L43" s="5"/>
      <c r="M43" s="6">
        <f t="shared" si="22"/>
        <v>0</v>
      </c>
      <c r="N43" s="245">
        <f>+'PRIORIZACIÓN (2)'!Q42</f>
        <v>44895</v>
      </c>
      <c r="O43" s="243">
        <f t="shared" si="23"/>
        <v>762</v>
      </c>
      <c r="P43" s="241">
        <f t="shared" si="24"/>
        <v>0.2</v>
      </c>
      <c r="Q43" s="239">
        <f t="shared" si="25"/>
        <v>0.60000000000000009</v>
      </c>
      <c r="R43" s="27">
        <f t="shared" si="17"/>
        <v>21</v>
      </c>
    </row>
    <row r="44" spans="2:18" ht="15.75" thickBot="1" x14ac:dyDescent="0.3">
      <c r="B44" s="233" t="str">
        <f>+'PRIORIZACIÓN (2)'!B43</f>
        <v>Costeo de los proyectos y rentabilidad de la Empresa</v>
      </c>
      <c r="C44" s="5">
        <f>+'PRIORIZACIÓN (2)'!C43</f>
        <v>1</v>
      </c>
      <c r="D44" s="1">
        <f>+'PRIORIZACIÓN (2)'!D43</f>
        <v>1</v>
      </c>
      <c r="E44" s="1">
        <f>+'PRIORIZACIÓN (2)'!E43</f>
        <v>1</v>
      </c>
      <c r="F44" s="1">
        <f>+'PRIORIZACIÓN (2)'!F43</f>
        <v>3</v>
      </c>
      <c r="G44" s="235">
        <f t="shared" si="18"/>
        <v>6</v>
      </c>
      <c r="H44" s="237" t="str">
        <f t="shared" si="19"/>
        <v>Alto</v>
      </c>
      <c r="I44" s="6">
        <f t="shared" si="20"/>
        <v>0.4</v>
      </c>
      <c r="J44" s="8"/>
      <c r="K44" s="227">
        <f t="shared" si="21"/>
        <v>0</v>
      </c>
      <c r="L44" s="5"/>
      <c r="M44" s="6">
        <f t="shared" si="22"/>
        <v>0</v>
      </c>
      <c r="N44" s="245">
        <f>+'PRIORIZACIÓN (2)'!Q43</f>
        <v>44829</v>
      </c>
      <c r="O44" s="243">
        <f t="shared" si="23"/>
        <v>828</v>
      </c>
      <c r="P44" s="241">
        <f t="shared" si="24"/>
        <v>0.2</v>
      </c>
      <c r="Q44" s="239">
        <f t="shared" si="25"/>
        <v>0.60000000000000009</v>
      </c>
      <c r="R44" s="27">
        <f t="shared" si="17"/>
        <v>21</v>
      </c>
    </row>
    <row r="45" spans="2:18" ht="30.75" thickBot="1" x14ac:dyDescent="0.3">
      <c r="B45" s="233" t="str">
        <f>+'PRIORIZACIÓN (2)'!B44</f>
        <v>Seguimiento Resolución 1519 de 2021  y acceso a la Información</v>
      </c>
      <c r="C45" s="5">
        <f>+'PRIORIZACIÓN (2)'!C44</f>
        <v>0</v>
      </c>
      <c r="D45" s="1">
        <f>+'PRIORIZACIÓN (2)'!D44</f>
        <v>1</v>
      </c>
      <c r="E45" s="1">
        <f>+'PRIORIZACIÓN (2)'!E44</f>
        <v>2</v>
      </c>
      <c r="F45" s="1">
        <f>+'PRIORIZACIÓN (2)'!F44</f>
        <v>2</v>
      </c>
      <c r="G45" s="235">
        <f t="shared" si="18"/>
        <v>5</v>
      </c>
      <c r="H45" s="237" t="str">
        <f t="shared" si="19"/>
        <v>Moderado</v>
      </c>
      <c r="I45" s="6">
        <f t="shared" si="20"/>
        <v>0.15</v>
      </c>
      <c r="J45" s="8"/>
      <c r="K45" s="227">
        <f t="shared" si="21"/>
        <v>0</v>
      </c>
      <c r="L45" s="5"/>
      <c r="M45" s="6">
        <f t="shared" si="22"/>
        <v>0</v>
      </c>
      <c r="N45" s="245">
        <f>+'PRIORIZACIÓN (2)'!Q44</f>
        <v>44895</v>
      </c>
      <c r="O45" s="243">
        <f t="shared" si="23"/>
        <v>762</v>
      </c>
      <c r="P45" s="241">
        <f t="shared" si="24"/>
        <v>0.2</v>
      </c>
      <c r="Q45" s="239">
        <f t="shared" si="25"/>
        <v>0.35</v>
      </c>
      <c r="R45" s="27">
        <f t="shared" si="17"/>
        <v>38</v>
      </c>
    </row>
    <row r="46" spans="2:18" ht="45.75" thickBot="1" x14ac:dyDescent="0.3">
      <c r="B46" s="233" t="str">
        <f>+'PRIORIZACIÓN (2)'!B45</f>
        <v>Seguimiento Auditoria de Fiducias (Plan de Mejoramiento y Contratación por vencimiento de términos Fiducias actuales)</v>
      </c>
      <c r="C46" s="5">
        <f>+'PRIORIZACIÓN (2)'!C45</f>
        <v>0</v>
      </c>
      <c r="D46" s="1">
        <f>+'PRIORIZACIÓN (2)'!D45</f>
        <v>1</v>
      </c>
      <c r="E46" s="1">
        <f>+'PRIORIZACIÓN (2)'!E45</f>
        <v>1</v>
      </c>
      <c r="F46" s="1">
        <f>+'PRIORIZACIÓN (2)'!F45</f>
        <v>1</v>
      </c>
      <c r="G46" s="235">
        <f t="shared" si="18"/>
        <v>3</v>
      </c>
      <c r="H46" s="237" t="str">
        <f t="shared" si="19"/>
        <v>Alto</v>
      </c>
      <c r="I46" s="6">
        <f t="shared" si="20"/>
        <v>0.4</v>
      </c>
      <c r="J46" s="8"/>
      <c r="K46" s="227">
        <f t="shared" si="21"/>
        <v>0</v>
      </c>
      <c r="L46" s="5"/>
      <c r="M46" s="6">
        <f t="shared" si="22"/>
        <v>0</v>
      </c>
      <c r="N46" s="245">
        <f>+'PRIORIZACIÓN (2)'!Q45</f>
        <v>44895</v>
      </c>
      <c r="O46" s="243">
        <f t="shared" si="23"/>
        <v>762</v>
      </c>
      <c r="P46" s="241">
        <f t="shared" si="24"/>
        <v>0.2</v>
      </c>
      <c r="Q46" s="239">
        <f t="shared" si="25"/>
        <v>0.60000000000000009</v>
      </c>
      <c r="R46" s="27">
        <f t="shared" si="17"/>
        <v>21</v>
      </c>
    </row>
    <row r="47" spans="2:18" ht="30.75" thickBot="1" x14ac:dyDescent="0.3">
      <c r="B47" s="233" t="str">
        <f>+'PRIORIZACIÓN (2)'!B46</f>
        <v>Seguimiento Comités Institucionales (Actividad pendiente de finalizar de la Vigencia 2021)</v>
      </c>
      <c r="C47" s="5">
        <f>+'PRIORIZACIÓN (2)'!C46</f>
        <v>0</v>
      </c>
      <c r="D47" s="1">
        <f>+'PRIORIZACIÓN (2)'!D46</f>
        <v>2</v>
      </c>
      <c r="E47" s="1">
        <f>+'PRIORIZACIÓN (2)'!E46</f>
        <v>2</v>
      </c>
      <c r="F47" s="1">
        <f>+'PRIORIZACIÓN (2)'!F46</f>
        <v>2</v>
      </c>
      <c r="G47" s="235">
        <f t="shared" si="18"/>
        <v>6</v>
      </c>
      <c r="H47" s="237" t="str">
        <f t="shared" si="19"/>
        <v>Alto</v>
      </c>
      <c r="I47" s="6">
        <f t="shared" si="20"/>
        <v>0.4</v>
      </c>
      <c r="J47" s="8"/>
      <c r="K47" s="227">
        <f t="shared" si="21"/>
        <v>0</v>
      </c>
      <c r="L47" s="5"/>
      <c r="M47" s="6">
        <f t="shared" si="22"/>
        <v>0</v>
      </c>
      <c r="N47" s="245">
        <f>+'PRIORIZACIÓN (2)'!Q46</f>
        <v>44614</v>
      </c>
      <c r="O47" s="243">
        <f t="shared" si="23"/>
        <v>1043</v>
      </c>
      <c r="P47" s="241">
        <f t="shared" si="24"/>
        <v>0.2</v>
      </c>
      <c r="Q47" s="239">
        <f t="shared" si="25"/>
        <v>0.60000000000000009</v>
      </c>
      <c r="R47" s="27">
        <f t="shared" si="17"/>
        <v>21</v>
      </c>
    </row>
    <row r="48" spans="2:18" ht="15.75" thickBot="1" x14ac:dyDescent="0.3">
      <c r="B48" s="233" t="str">
        <f>+'PRIORIZACIÓN (2)'!B47</f>
        <v>Seguimiento Plan de Mejoramiento Archivística</v>
      </c>
      <c r="C48" s="5">
        <f>+'PRIORIZACIÓN (2)'!C47</f>
        <v>0</v>
      </c>
      <c r="D48" s="1">
        <f>+'PRIORIZACIÓN (2)'!D47</f>
        <v>1</v>
      </c>
      <c r="E48" s="1">
        <f>+'PRIORIZACIÓN (2)'!E47</f>
        <v>1</v>
      </c>
      <c r="F48" s="1">
        <f>+'PRIORIZACIÓN (2)'!F47</f>
        <v>3</v>
      </c>
      <c r="G48" s="235">
        <f t="shared" si="18"/>
        <v>5</v>
      </c>
      <c r="H48" s="237" t="str">
        <f t="shared" si="19"/>
        <v>Moderado</v>
      </c>
      <c r="I48" s="6">
        <f t="shared" si="20"/>
        <v>0.15</v>
      </c>
      <c r="J48" s="8"/>
      <c r="K48" s="227">
        <f t="shared" si="21"/>
        <v>0</v>
      </c>
      <c r="L48" s="5"/>
      <c r="M48" s="6">
        <f t="shared" si="22"/>
        <v>0</v>
      </c>
      <c r="N48" s="245">
        <f>+'PRIORIZACIÓN (2)'!Q47</f>
        <v>44864</v>
      </c>
      <c r="O48" s="243">
        <f t="shared" si="23"/>
        <v>793</v>
      </c>
      <c r="P48" s="241">
        <f>IF(O48&gt;=1080,30%,IF(O48&gt;=720,20%,IF(O48&gt;=360,10%,IF(O48&lt;=359,0%,0))))</f>
        <v>0.2</v>
      </c>
      <c r="Q48" s="239">
        <f t="shared" si="25"/>
        <v>0.35</v>
      </c>
      <c r="R48" s="27">
        <f t="shared" si="17"/>
        <v>38</v>
      </c>
    </row>
    <row r="49" spans="2:18" ht="45.75" thickBot="1" x14ac:dyDescent="0.3">
      <c r="B49" s="233" t="str">
        <f>+'PRIORIZACIÓN (2)'!B48</f>
        <v>Evaluación del Estatuto de Auditoria, Código de Ética del Auditor y Plan de Mejoramiento de las Auditorias Cruzadas</v>
      </c>
      <c r="C49" s="5">
        <f>+'PRIORIZACIÓN (2)'!C48</f>
        <v>0</v>
      </c>
      <c r="D49" s="1">
        <f>+'PRIORIZACIÓN (2)'!D48</f>
        <v>1</v>
      </c>
      <c r="E49" s="1">
        <f>+'PRIORIZACIÓN (2)'!E48</f>
        <v>2</v>
      </c>
      <c r="F49" s="1">
        <f>+'PRIORIZACIÓN (2)'!F48</f>
        <v>2</v>
      </c>
      <c r="G49" s="235">
        <f t="shared" si="18"/>
        <v>5</v>
      </c>
      <c r="H49" s="237" t="str">
        <f t="shared" si="19"/>
        <v>Moderado</v>
      </c>
      <c r="I49" s="6">
        <f t="shared" si="20"/>
        <v>0.15</v>
      </c>
      <c r="J49" s="8"/>
      <c r="K49" s="227">
        <f t="shared" si="21"/>
        <v>0</v>
      </c>
      <c r="L49" s="5"/>
      <c r="M49" s="6">
        <f t="shared" si="22"/>
        <v>0</v>
      </c>
      <c r="N49" s="245">
        <f>+'PRIORIZACIÓN (2)'!Q48</f>
        <v>44651</v>
      </c>
      <c r="O49" s="243">
        <f t="shared" si="23"/>
        <v>1006</v>
      </c>
      <c r="P49" s="241">
        <f t="shared" si="24"/>
        <v>0.2</v>
      </c>
      <c r="Q49" s="239">
        <f t="shared" si="25"/>
        <v>0.35</v>
      </c>
      <c r="R49" s="27">
        <f t="shared" si="17"/>
        <v>38</v>
      </c>
    </row>
    <row r="50" spans="2:18" ht="30.75" thickBot="1" x14ac:dyDescent="0.3">
      <c r="B50" s="233" t="str">
        <f>+'PRIORIZACIÓN (2)'!B49</f>
        <v>Factores de Gestión Prioritarias para la Empresa (análisis OCI) y Fortalecimiento Institucional</v>
      </c>
      <c r="C50" s="5">
        <f>+'PRIORIZACIÓN (2)'!C49</f>
        <v>0</v>
      </c>
      <c r="D50" s="1">
        <f>+'PRIORIZACIÓN (2)'!D49</f>
        <v>0</v>
      </c>
      <c r="E50" s="1">
        <f>+'PRIORIZACIÓN (2)'!E49</f>
        <v>2</v>
      </c>
      <c r="F50" s="1">
        <f>+'PRIORIZACIÓN (2)'!F49</f>
        <v>2</v>
      </c>
      <c r="G50" s="235">
        <f t="shared" ref="G50:G55" si="26">SUM(C50:F50)</f>
        <v>4</v>
      </c>
      <c r="H50" s="237" t="str">
        <f t="shared" ref="H50:H55" si="27">+IF(($C50/$G50)&gt;=0.2,"Extremo",+IF((($C50/G50)+($D50/$G50))&gt;=0.3,"Alto",+IF((($C50/$G50)+($D50/$G50)+($E50/$G50))&gt;=0.4,"Moderado",+IF(($C50/$G50)+($D50/$G50)+($E50/$G50)+($F50/$G50)&gt;=0.5,"Bajo",""))))</f>
        <v>Moderado</v>
      </c>
      <c r="I50" s="6">
        <f t="shared" ref="I50:I55" si="28">(IF(H50="Extremo",50%,(IF(H50="Alto",40%,IF(H50="Moderado",15%,IF(H50="Bajo",10%,0))))))</f>
        <v>0.15</v>
      </c>
      <c r="J50" s="8"/>
      <c r="K50" s="227">
        <f t="shared" ref="K50:K55" si="29">IF(J50="Si",100%,IF(J50="No",0,0))</f>
        <v>0</v>
      </c>
      <c r="L50" s="5"/>
      <c r="M50" s="6">
        <f t="shared" ref="M50:M55" si="30">IF(L50="Si",20%,IF(L50="No",0,0))</f>
        <v>0</v>
      </c>
      <c r="N50" s="245">
        <f>+'PRIORIZACIÓN (2)'!Q49</f>
        <v>44428</v>
      </c>
      <c r="O50" s="243">
        <f t="shared" ref="O50:O55" si="31">+$C$6-N50</f>
        <v>1229</v>
      </c>
      <c r="P50" s="241">
        <f t="shared" ref="P50:P55" si="32">IF(O50&gt;=1080,30%,IF(O50&gt;=720,20%,IF(O50&gt;=360,10%,IF(O50&lt;=359,0%,0))))</f>
        <v>0.3</v>
      </c>
      <c r="Q50" s="239">
        <f t="shared" ref="Q50:Q55" si="33">IF(K50=100%,100%,(I50+M50+P50))</f>
        <v>0.44999999999999996</v>
      </c>
      <c r="R50" s="27">
        <f t="shared" si="17"/>
        <v>34</v>
      </c>
    </row>
    <row r="51" spans="2:18" ht="30.75" thickBot="1" x14ac:dyDescent="0.3">
      <c r="B51" s="233" t="str">
        <f>+'PRIORIZACIÓN (2)'!B50</f>
        <v>Auditoria de Fiducias. Alcance por muestra confiable.</v>
      </c>
      <c r="C51" s="5">
        <f>+'PRIORIZACIÓN (2)'!C50</f>
        <v>0</v>
      </c>
      <c r="D51" s="1">
        <f>+'PRIORIZACIÓN (2)'!D50</f>
        <v>1</v>
      </c>
      <c r="E51" s="1">
        <f>+'PRIORIZACIÓN (2)'!E50</f>
        <v>1</v>
      </c>
      <c r="F51" s="1">
        <f>+'PRIORIZACIÓN (2)'!F50</f>
        <v>1</v>
      </c>
      <c r="G51" s="235">
        <f t="shared" si="26"/>
        <v>3</v>
      </c>
      <c r="H51" s="237" t="str">
        <f t="shared" si="27"/>
        <v>Alto</v>
      </c>
      <c r="I51" s="6">
        <f t="shared" si="28"/>
        <v>0.4</v>
      </c>
      <c r="J51" s="8"/>
      <c r="K51" s="227">
        <f t="shared" si="29"/>
        <v>0</v>
      </c>
      <c r="L51" s="5"/>
      <c r="M51" s="6">
        <f t="shared" si="30"/>
        <v>0</v>
      </c>
      <c r="N51" s="245">
        <f>+'PRIORIZACIÓN (2)'!Q50</f>
        <v>44502</v>
      </c>
      <c r="O51" s="243">
        <f t="shared" si="31"/>
        <v>1155</v>
      </c>
      <c r="P51" s="241">
        <f t="shared" si="32"/>
        <v>0.3</v>
      </c>
      <c r="Q51" s="239">
        <f t="shared" si="33"/>
        <v>0.7</v>
      </c>
      <c r="R51" s="27">
        <f t="shared" si="17"/>
        <v>19</v>
      </c>
    </row>
    <row r="52" spans="2:18" ht="30.75" thickBot="1" x14ac:dyDescent="0.3">
      <c r="B52" s="233" t="str">
        <f>+'PRIORIZACIÓN (2)'!B51</f>
        <v>Auditoria Plan estratégico y gestión Tecnología y Comunicaciones</v>
      </c>
      <c r="C52" s="5">
        <f>+'PRIORIZACIÓN (2)'!C51</f>
        <v>0</v>
      </c>
      <c r="D52" s="1">
        <f>+'PRIORIZACIÓN (2)'!D51</f>
        <v>2</v>
      </c>
      <c r="E52" s="1">
        <f>+'PRIORIZACIÓN (2)'!E51</f>
        <v>2</v>
      </c>
      <c r="F52" s="1">
        <f>+'PRIORIZACIÓN (2)'!F51</f>
        <v>2</v>
      </c>
      <c r="G52" s="235">
        <f t="shared" si="26"/>
        <v>6</v>
      </c>
      <c r="H52" s="237" t="str">
        <f t="shared" si="27"/>
        <v>Alto</v>
      </c>
      <c r="I52" s="6">
        <f t="shared" si="28"/>
        <v>0.4</v>
      </c>
      <c r="J52" s="8"/>
      <c r="K52" s="227">
        <f t="shared" si="29"/>
        <v>0</v>
      </c>
      <c r="L52" s="5"/>
      <c r="M52" s="6">
        <f t="shared" si="30"/>
        <v>0</v>
      </c>
      <c r="N52" s="245">
        <f>+'PRIORIZACIÓN (2)'!Q51</f>
        <v>44523</v>
      </c>
      <c r="O52" s="243">
        <f t="shared" si="31"/>
        <v>1134</v>
      </c>
      <c r="P52" s="241">
        <f t="shared" si="32"/>
        <v>0.3</v>
      </c>
      <c r="Q52" s="239">
        <f t="shared" si="33"/>
        <v>0.7</v>
      </c>
      <c r="R52" s="27">
        <f t="shared" si="17"/>
        <v>19</v>
      </c>
    </row>
    <row r="53" spans="2:18" ht="45.75" thickBot="1" x14ac:dyDescent="0.3">
      <c r="B53" s="233" t="str">
        <f>+'PRIORIZACIÓN (2)'!B52</f>
        <v>Proyecto: Formulación, Gestión y Estructuración de Proyectos de Desarrollo, Revitalización o Renovación Urbana. Incluido aspecto contractual</v>
      </c>
      <c r="C53" s="5">
        <f>+'PRIORIZACIÓN (2)'!C52</f>
        <v>0</v>
      </c>
      <c r="D53" s="1">
        <f>+'PRIORIZACIÓN (2)'!D52</f>
        <v>1</v>
      </c>
      <c r="E53" s="1">
        <f>+'PRIORIZACIÓN (2)'!E52</f>
        <v>1</v>
      </c>
      <c r="F53" s="1">
        <f>+'PRIORIZACIÓN (2)'!F52</f>
        <v>3</v>
      </c>
      <c r="G53" s="235">
        <f t="shared" si="26"/>
        <v>5</v>
      </c>
      <c r="H53" s="237" t="str">
        <f t="shared" si="27"/>
        <v>Moderado</v>
      </c>
      <c r="I53" s="6">
        <f t="shared" si="28"/>
        <v>0.15</v>
      </c>
      <c r="J53" s="8"/>
      <c r="K53" s="227">
        <f t="shared" si="29"/>
        <v>0</v>
      </c>
      <c r="L53" s="5"/>
      <c r="M53" s="6">
        <f t="shared" si="30"/>
        <v>0</v>
      </c>
      <c r="N53" s="245">
        <f>+'PRIORIZACIÓN (2)'!Q52</f>
        <v>44553</v>
      </c>
      <c r="O53" s="243">
        <f t="shared" si="31"/>
        <v>1104</v>
      </c>
      <c r="P53" s="241">
        <f t="shared" si="32"/>
        <v>0.3</v>
      </c>
      <c r="Q53" s="239">
        <f t="shared" si="33"/>
        <v>0.44999999999999996</v>
      </c>
      <c r="R53" s="27">
        <f t="shared" si="17"/>
        <v>34</v>
      </c>
    </row>
    <row r="54" spans="2:18" ht="30.75" thickBot="1" x14ac:dyDescent="0.3">
      <c r="B54" s="233" t="str">
        <f>+'PRIORIZACIÓN (2)'!B53</f>
        <v>Auditoria Gestión Social asociada a la Adquisición Predial y grupos de interés</v>
      </c>
      <c r="C54" s="5">
        <f>+'PRIORIZACIÓN (2)'!C53</f>
        <v>0</v>
      </c>
      <c r="D54" s="1">
        <f>+'PRIORIZACIÓN (2)'!D53</f>
        <v>1</v>
      </c>
      <c r="E54" s="1">
        <f>+'PRIORIZACIÓN (2)'!E53</f>
        <v>2</v>
      </c>
      <c r="F54" s="1">
        <f>+'PRIORIZACIÓN (2)'!F53</f>
        <v>2</v>
      </c>
      <c r="G54" s="235">
        <f t="shared" si="26"/>
        <v>5</v>
      </c>
      <c r="H54" s="237" t="str">
        <f t="shared" si="27"/>
        <v>Moderado</v>
      </c>
      <c r="I54" s="6">
        <f t="shared" si="28"/>
        <v>0.15</v>
      </c>
      <c r="J54" s="8"/>
      <c r="K54" s="227">
        <f t="shared" si="29"/>
        <v>0</v>
      </c>
      <c r="L54" s="5"/>
      <c r="M54" s="6">
        <f t="shared" si="30"/>
        <v>0</v>
      </c>
      <c r="N54" s="245">
        <f>+'PRIORIZACIÓN (2)'!Q53</f>
        <v>44553</v>
      </c>
      <c r="O54" s="243">
        <f t="shared" si="31"/>
        <v>1104</v>
      </c>
      <c r="P54" s="241">
        <f t="shared" si="32"/>
        <v>0.3</v>
      </c>
      <c r="Q54" s="239">
        <f t="shared" si="33"/>
        <v>0.44999999999999996</v>
      </c>
      <c r="R54" s="27">
        <f t="shared" si="17"/>
        <v>34</v>
      </c>
    </row>
    <row r="55" spans="2:18" ht="45" x14ac:dyDescent="0.25">
      <c r="B55" s="233" t="str">
        <f>+'PRIORIZACIÓN (2)'!B54</f>
        <v>Auditoria Proceso Evaluación y seguimiento - Normas Internacionales de Auditoria - Oficina PAD
Auditorias cruzadas OCI - Alcaldia.</v>
      </c>
      <c r="C55" s="5">
        <f>+'PRIORIZACIÓN (2)'!C54</f>
        <v>0</v>
      </c>
      <c r="D55" s="1">
        <f>+'PRIORIZACIÓN (2)'!D54</f>
        <v>0</v>
      </c>
      <c r="E55" s="1">
        <f>+'PRIORIZACIÓN (2)'!E54</f>
        <v>2</v>
      </c>
      <c r="F55" s="1">
        <f>+'PRIORIZACIÓN (2)'!F54</f>
        <v>2</v>
      </c>
      <c r="G55" s="235">
        <f t="shared" si="26"/>
        <v>4</v>
      </c>
      <c r="H55" s="237" t="str">
        <f t="shared" si="27"/>
        <v>Moderado</v>
      </c>
      <c r="I55" s="6">
        <f t="shared" si="28"/>
        <v>0.15</v>
      </c>
      <c r="J55" s="8"/>
      <c r="K55" s="227">
        <f t="shared" si="29"/>
        <v>0</v>
      </c>
      <c r="L55" s="5"/>
      <c r="M55" s="6">
        <f t="shared" si="30"/>
        <v>0</v>
      </c>
      <c r="N55" s="245">
        <f>+'PRIORIZACIÓN (2)'!Q54</f>
        <v>44484</v>
      </c>
      <c r="O55" s="243">
        <f t="shared" si="31"/>
        <v>1173</v>
      </c>
      <c r="P55" s="241">
        <f t="shared" si="32"/>
        <v>0.3</v>
      </c>
      <c r="Q55" s="239">
        <f t="shared" si="33"/>
        <v>0.44999999999999996</v>
      </c>
      <c r="R55" s="27">
        <f t="shared" si="17"/>
        <v>34</v>
      </c>
    </row>
    <row r="57" spans="2:18" ht="15.75" thickBot="1" x14ac:dyDescent="0.3"/>
    <row r="58" spans="2:18" x14ac:dyDescent="0.25">
      <c r="B58" s="11"/>
      <c r="C58" s="28"/>
      <c r="D58" s="12"/>
      <c r="E58" s="12"/>
      <c r="F58" s="12"/>
      <c r="G58" s="12"/>
      <c r="H58" s="12"/>
      <c r="I58" s="12"/>
      <c r="J58" s="12"/>
      <c r="K58" s="12"/>
      <c r="L58" s="12"/>
      <c r="M58" s="12"/>
      <c r="N58" s="12"/>
      <c r="O58" s="12"/>
      <c r="P58" s="13"/>
    </row>
    <row r="59" spans="2:18" x14ac:dyDescent="0.25">
      <c r="B59" s="14"/>
      <c r="C59" s="29"/>
      <c r="D59" s="15"/>
      <c r="E59" s="15"/>
      <c r="F59" s="15"/>
      <c r="G59" s="15"/>
      <c r="H59" s="15"/>
      <c r="I59" s="15"/>
      <c r="J59" s="15"/>
      <c r="K59" s="15"/>
      <c r="L59" s="15"/>
      <c r="M59" s="15"/>
      <c r="N59" s="15"/>
      <c r="O59" s="15"/>
      <c r="P59" s="16"/>
    </row>
    <row r="60" spans="2:18" x14ac:dyDescent="0.25">
      <c r="B60" s="14"/>
      <c r="C60" s="29"/>
      <c r="D60" s="15"/>
      <c r="E60" s="15"/>
      <c r="F60" s="15"/>
      <c r="G60" s="15"/>
      <c r="H60" s="15"/>
      <c r="I60" s="15"/>
      <c r="J60" s="15"/>
      <c r="K60" s="15"/>
      <c r="L60" s="15"/>
      <c r="M60" s="15"/>
      <c r="N60" s="15"/>
      <c r="O60" s="15"/>
      <c r="P60" s="16"/>
    </row>
    <row r="61" spans="2:18" x14ac:dyDescent="0.25">
      <c r="B61" s="14"/>
      <c r="C61" s="29"/>
      <c r="D61" s="15"/>
      <c r="E61" s="15"/>
      <c r="F61" s="15"/>
      <c r="G61" s="15"/>
      <c r="H61" s="15"/>
      <c r="I61" s="15"/>
      <c r="J61" s="15"/>
      <c r="K61" s="15"/>
      <c r="L61" s="15"/>
      <c r="M61" s="15"/>
      <c r="N61" s="15"/>
      <c r="O61" s="15"/>
      <c r="P61" s="16"/>
    </row>
    <row r="62" spans="2:18" x14ac:dyDescent="0.25">
      <c r="B62" s="14"/>
      <c r="C62" s="29"/>
      <c r="D62" s="15"/>
      <c r="E62" s="15"/>
      <c r="F62" s="15"/>
      <c r="G62" s="15"/>
      <c r="H62" s="15"/>
      <c r="I62" s="15"/>
      <c r="J62" s="15"/>
      <c r="K62" s="15"/>
      <c r="L62" s="15"/>
      <c r="M62" s="15"/>
      <c r="N62" s="15"/>
      <c r="O62" s="15"/>
      <c r="P62" s="16"/>
    </row>
    <row r="63" spans="2:18" x14ac:dyDescent="0.25">
      <c r="B63" s="14"/>
      <c r="C63" s="29"/>
      <c r="D63" s="15"/>
      <c r="E63" s="15"/>
      <c r="F63" s="15"/>
      <c r="G63" s="15"/>
      <c r="H63" s="15"/>
      <c r="I63" s="15"/>
      <c r="J63" s="15"/>
      <c r="K63" s="15"/>
      <c r="L63" s="15"/>
      <c r="M63" s="15"/>
      <c r="N63" s="15"/>
      <c r="O63" s="15"/>
      <c r="P63" s="16"/>
    </row>
    <row r="64" spans="2:18" x14ac:dyDescent="0.25">
      <c r="B64" s="14"/>
      <c r="C64" s="29"/>
      <c r="D64" s="15"/>
      <c r="E64" s="15"/>
      <c r="F64" s="15"/>
      <c r="G64" s="15"/>
      <c r="H64" s="15"/>
      <c r="I64" s="15"/>
      <c r="J64" s="15"/>
      <c r="K64" s="15"/>
      <c r="L64" s="15"/>
      <c r="M64" s="15"/>
      <c r="N64" s="15"/>
      <c r="O64" s="15"/>
      <c r="P64" s="16"/>
    </row>
    <row r="65" spans="2:16" x14ac:dyDescent="0.25">
      <c r="B65" s="729" t="s">
        <v>24</v>
      </c>
      <c r="C65" s="730"/>
      <c r="D65" s="730"/>
      <c r="E65" s="730"/>
      <c r="F65" s="730"/>
      <c r="G65" s="730"/>
      <c r="H65" s="730"/>
      <c r="I65" s="730"/>
      <c r="J65" s="730"/>
      <c r="K65" s="730"/>
      <c r="L65" s="730"/>
      <c r="M65" s="730"/>
      <c r="N65" s="730"/>
      <c r="O65" s="730"/>
      <c r="P65" s="731"/>
    </row>
    <row r="66" spans="2:16" x14ac:dyDescent="0.25">
      <c r="B66" s="14"/>
      <c r="C66" s="29"/>
      <c r="D66" s="15"/>
      <c r="E66" s="15"/>
      <c r="F66" s="15"/>
      <c r="G66" s="15"/>
      <c r="H66" s="15"/>
      <c r="I66" s="15"/>
      <c r="J66" s="15"/>
      <c r="K66" s="15"/>
      <c r="L66" s="15"/>
      <c r="M66" s="15"/>
      <c r="N66" s="15"/>
      <c r="O66" s="15"/>
      <c r="P66" s="16"/>
    </row>
    <row r="67" spans="2:16" x14ac:dyDescent="0.25">
      <c r="B67" s="14"/>
      <c r="C67" s="29"/>
      <c r="D67" s="15"/>
      <c r="E67" s="15"/>
      <c r="F67" s="15"/>
      <c r="G67" s="15"/>
      <c r="H67" s="15"/>
      <c r="I67" s="15"/>
      <c r="J67" s="15"/>
      <c r="K67" s="15"/>
      <c r="L67" s="15"/>
      <c r="M67" s="15"/>
      <c r="N67" s="15"/>
      <c r="O67" s="15"/>
      <c r="P67" s="16"/>
    </row>
    <row r="68" spans="2:16" x14ac:dyDescent="0.25">
      <c r="B68" s="14"/>
      <c r="C68" s="29"/>
      <c r="D68" s="15"/>
      <c r="E68" s="15"/>
      <c r="F68" s="15"/>
      <c r="G68" s="15"/>
      <c r="H68" s="15"/>
      <c r="I68" s="15"/>
      <c r="J68" s="15"/>
      <c r="K68" s="15"/>
      <c r="L68" s="15"/>
      <c r="M68" s="15"/>
      <c r="N68" s="15"/>
      <c r="O68" s="15"/>
      <c r="P68" s="16"/>
    </row>
    <row r="69" spans="2:16" x14ac:dyDescent="0.25">
      <c r="B69" s="14"/>
      <c r="C69" s="29"/>
      <c r="D69" s="15"/>
      <c r="E69" s="15"/>
      <c r="F69" s="15"/>
      <c r="G69" s="15"/>
      <c r="H69" s="15"/>
      <c r="I69" s="15"/>
      <c r="J69" s="15"/>
      <c r="K69" s="15"/>
      <c r="L69" s="15"/>
      <c r="M69" s="15"/>
      <c r="N69" s="15"/>
      <c r="O69" s="15"/>
      <c r="P69" s="16"/>
    </row>
    <row r="70" spans="2:16" x14ac:dyDescent="0.25">
      <c r="B70" s="14"/>
      <c r="C70" s="29"/>
      <c r="D70" s="15"/>
      <c r="E70" s="15"/>
      <c r="F70" s="15"/>
      <c r="G70" s="15"/>
      <c r="H70" s="15"/>
      <c r="I70" s="15"/>
      <c r="J70" s="15"/>
      <c r="K70" s="15"/>
      <c r="L70" s="15"/>
      <c r="M70" s="15"/>
      <c r="N70" s="15"/>
      <c r="O70" s="15"/>
      <c r="P70" s="16"/>
    </row>
    <row r="71" spans="2:16" x14ac:dyDescent="0.25">
      <c r="B71" s="14"/>
      <c r="C71" s="29"/>
      <c r="D71" s="15"/>
      <c r="E71" s="15"/>
      <c r="F71" s="15"/>
      <c r="G71" s="15"/>
      <c r="H71" s="15"/>
      <c r="I71" s="15"/>
      <c r="J71" s="15"/>
      <c r="K71" s="15"/>
      <c r="L71" s="15"/>
      <c r="M71" s="15"/>
      <c r="N71" s="15"/>
      <c r="O71" s="15"/>
      <c r="P71" s="16"/>
    </row>
    <row r="72" spans="2:16" x14ac:dyDescent="0.25">
      <c r="B72" s="14"/>
      <c r="C72" s="29"/>
      <c r="D72" s="15"/>
      <c r="E72" s="15"/>
      <c r="F72" s="15"/>
      <c r="G72" s="15"/>
      <c r="H72" s="15"/>
      <c r="I72" s="15"/>
      <c r="J72" s="15"/>
      <c r="K72" s="15"/>
      <c r="L72" s="15"/>
      <c r="M72" s="15"/>
      <c r="N72" s="15"/>
      <c r="O72" s="15"/>
      <c r="P72" s="16"/>
    </row>
    <row r="73" spans="2:16" x14ac:dyDescent="0.25">
      <c r="B73" s="14"/>
      <c r="C73" s="29"/>
      <c r="D73" s="15"/>
      <c r="E73" s="15"/>
      <c r="F73" s="15"/>
      <c r="G73" s="15"/>
      <c r="H73" s="15"/>
      <c r="I73" s="15"/>
      <c r="J73" s="15"/>
      <c r="K73" s="15"/>
      <c r="L73" s="15"/>
      <c r="M73" s="15"/>
      <c r="N73" s="15"/>
      <c r="O73" s="15"/>
      <c r="P73" s="16"/>
    </row>
    <row r="74" spans="2:16" x14ac:dyDescent="0.25">
      <c r="B74" s="14"/>
      <c r="C74" s="29"/>
      <c r="D74" s="15"/>
      <c r="E74" s="15"/>
      <c r="F74" s="15"/>
      <c r="G74" s="15"/>
      <c r="H74" s="15"/>
      <c r="I74" s="15"/>
      <c r="J74" s="15"/>
      <c r="K74" s="15"/>
      <c r="L74" s="15"/>
      <c r="M74" s="15"/>
      <c r="N74" s="15"/>
      <c r="O74" s="15"/>
      <c r="P74" s="16"/>
    </row>
    <row r="75" spans="2:16" x14ac:dyDescent="0.25">
      <c r="B75" s="14"/>
      <c r="C75" s="29"/>
      <c r="D75" s="15"/>
      <c r="E75" s="15"/>
      <c r="F75" s="15"/>
      <c r="G75" s="15"/>
      <c r="H75" s="15"/>
      <c r="I75" s="15"/>
      <c r="J75" s="15"/>
      <c r="K75" s="15"/>
      <c r="L75" s="15"/>
      <c r="M75" s="15"/>
      <c r="N75" s="15"/>
      <c r="O75" s="15"/>
      <c r="P75" s="16"/>
    </row>
    <row r="76" spans="2:16" ht="15.75" thickBot="1" x14ac:dyDescent="0.3">
      <c r="B76" s="17"/>
      <c r="C76" s="18"/>
      <c r="D76" s="18"/>
      <c r="E76" s="18"/>
      <c r="F76" s="18"/>
      <c r="G76" s="18"/>
      <c r="H76" s="18"/>
      <c r="I76" s="18"/>
      <c r="J76" s="18"/>
      <c r="K76" s="18"/>
      <c r="L76" s="18"/>
      <c r="M76" s="18"/>
      <c r="N76" s="18"/>
      <c r="O76" s="18"/>
      <c r="P76" s="19"/>
    </row>
  </sheetData>
  <mergeCells count="23">
    <mergeCell ref="B2:B5"/>
    <mergeCell ref="C2:N5"/>
    <mergeCell ref="Q2:Q5"/>
    <mergeCell ref="O2:P2"/>
    <mergeCell ref="O3:P3"/>
    <mergeCell ref="O4:P4"/>
    <mergeCell ref="O5:P5"/>
    <mergeCell ref="R10:R11"/>
    <mergeCell ref="Q9:R9"/>
    <mergeCell ref="B65:P65"/>
    <mergeCell ref="J10:K11"/>
    <mergeCell ref="J9:K9"/>
    <mergeCell ref="L10:M11"/>
    <mergeCell ref="N10:N11"/>
    <mergeCell ref="B10:B11"/>
    <mergeCell ref="C10:G10"/>
    <mergeCell ref="H10:I11"/>
    <mergeCell ref="C9:I9"/>
    <mergeCell ref="O10:O11"/>
    <mergeCell ref="P10:P11"/>
    <mergeCell ref="L9:M9"/>
    <mergeCell ref="N9:P9"/>
    <mergeCell ref="Q10:Q11"/>
  </mergeCells>
  <conditionalFormatting sqref="H12">
    <cfRule type="containsText" dxfId="29" priority="49" operator="containsText" text="Moderado">
      <formula>NOT(ISERROR(SEARCH("Moderado",H12)))</formula>
    </cfRule>
    <cfRule type="containsText" dxfId="28" priority="50" operator="containsText" text="Alto">
      <formula>NOT(ISERROR(SEARCH("Alto",H12)))</formula>
    </cfRule>
    <cfRule type="containsText" dxfId="27" priority="51" operator="containsText" text="Muy Alto">
      <formula>NOT(ISERROR(SEARCH("Muy Alto",H12)))</formula>
    </cfRule>
  </conditionalFormatting>
  <conditionalFormatting sqref="H12">
    <cfRule type="containsText" dxfId="26" priority="47" operator="containsText" text="Muy Bajo">
      <formula>NOT(ISERROR(SEARCH("Muy Bajo",H12)))</formula>
    </cfRule>
    <cfRule type="containsText" dxfId="25" priority="48" operator="containsText" text="Bajo">
      <formula>NOT(ISERROR(SEARCH("Bajo",H12)))</formula>
    </cfRule>
  </conditionalFormatting>
  <conditionalFormatting sqref="H12">
    <cfRule type="containsText" dxfId="24" priority="46" operator="containsText" text="Extremo">
      <formula>NOT(ISERROR(SEARCH("Extremo",H12)))</formula>
    </cfRule>
  </conditionalFormatting>
  <conditionalFormatting sqref="H13:H21 H24:H34">
    <cfRule type="containsText" dxfId="23" priority="43" operator="containsText" text="Moderado">
      <formula>NOT(ISERROR(SEARCH("Moderado",H13)))</formula>
    </cfRule>
    <cfRule type="containsText" dxfId="22" priority="44" operator="containsText" text="Alto">
      <formula>NOT(ISERROR(SEARCH("Alto",H13)))</formula>
    </cfRule>
    <cfRule type="containsText" dxfId="21" priority="45" operator="containsText" text="Muy Alto">
      <formula>NOT(ISERROR(SEARCH("Muy Alto",H13)))</formula>
    </cfRule>
  </conditionalFormatting>
  <conditionalFormatting sqref="H13:H21 H24:H34">
    <cfRule type="containsText" dxfId="20" priority="41" operator="containsText" text="Muy Bajo">
      <formula>NOT(ISERROR(SEARCH("Muy Bajo",H13)))</formula>
    </cfRule>
    <cfRule type="containsText" dxfId="19" priority="42" operator="containsText" text="Bajo">
      <formula>NOT(ISERROR(SEARCH("Bajo",H13)))</formula>
    </cfRule>
  </conditionalFormatting>
  <conditionalFormatting sqref="H13:H21 H24:H34">
    <cfRule type="containsText" dxfId="18" priority="40" operator="containsText" text="Extremo">
      <formula>NOT(ISERROR(SEARCH("Extremo",H13)))</formula>
    </cfRule>
  </conditionalFormatting>
  <conditionalFormatting sqref="T12">
    <cfRule type="colorScale" priority="37">
      <colorScale>
        <cfvo type="min"/>
        <cfvo type="percentile" val="50"/>
        <cfvo type="max"/>
        <color rgb="FF63BE7B"/>
        <color rgb="FFFFEB84"/>
        <color rgb="FFF8696B"/>
      </colorScale>
    </cfRule>
  </conditionalFormatting>
  <conditionalFormatting sqref="H22">
    <cfRule type="containsText" dxfId="17" priority="20" operator="containsText" text="Moderado">
      <formula>NOT(ISERROR(SEARCH("Moderado",H22)))</formula>
    </cfRule>
    <cfRule type="containsText" dxfId="16" priority="21" operator="containsText" text="Alto">
      <formula>NOT(ISERROR(SEARCH("Alto",H22)))</formula>
    </cfRule>
    <cfRule type="containsText" dxfId="15" priority="22" operator="containsText" text="Muy Alto">
      <formula>NOT(ISERROR(SEARCH("Muy Alto",H22)))</formula>
    </cfRule>
  </conditionalFormatting>
  <conditionalFormatting sqref="H22">
    <cfRule type="containsText" dxfId="14" priority="18" operator="containsText" text="Muy Bajo">
      <formula>NOT(ISERROR(SEARCH("Muy Bajo",H22)))</formula>
    </cfRule>
    <cfRule type="containsText" dxfId="13" priority="19" operator="containsText" text="Bajo">
      <formula>NOT(ISERROR(SEARCH("Bajo",H22)))</formula>
    </cfRule>
  </conditionalFormatting>
  <conditionalFormatting sqref="H22">
    <cfRule type="containsText" dxfId="12" priority="17" operator="containsText" text="Extremo">
      <formula>NOT(ISERROR(SEARCH("Extremo",H22)))</formula>
    </cfRule>
  </conditionalFormatting>
  <conditionalFormatting sqref="H23">
    <cfRule type="containsText" dxfId="11" priority="13" operator="containsText" text="Moderado">
      <formula>NOT(ISERROR(SEARCH("Moderado",H23)))</formula>
    </cfRule>
    <cfRule type="containsText" dxfId="10" priority="14" operator="containsText" text="Alto">
      <formula>NOT(ISERROR(SEARCH("Alto",H23)))</formula>
    </cfRule>
    <cfRule type="containsText" dxfId="9" priority="15" operator="containsText" text="Muy Alto">
      <formula>NOT(ISERROR(SEARCH("Muy Alto",H23)))</formula>
    </cfRule>
  </conditionalFormatting>
  <conditionalFormatting sqref="H23">
    <cfRule type="containsText" dxfId="8" priority="11" operator="containsText" text="Muy Bajo">
      <formula>NOT(ISERROR(SEARCH("Muy Bajo",H23)))</formula>
    </cfRule>
    <cfRule type="containsText" dxfId="7" priority="12" operator="containsText" text="Bajo">
      <formula>NOT(ISERROR(SEARCH("Bajo",H23)))</formula>
    </cfRule>
  </conditionalFormatting>
  <conditionalFormatting sqref="H23">
    <cfRule type="containsText" dxfId="6" priority="10" operator="containsText" text="Extremo">
      <formula>NOT(ISERROR(SEARCH("Extremo",H23)))</formula>
    </cfRule>
  </conditionalFormatting>
  <conditionalFormatting sqref="Q23">
    <cfRule type="colorScale" priority="9">
      <colorScale>
        <cfvo type="min"/>
        <cfvo type="percentile" val="50"/>
        <cfvo type="max"/>
        <color rgb="FF63BE7B"/>
        <color rgb="FFFFEB84"/>
        <color rgb="FFF8696B"/>
      </colorScale>
    </cfRule>
  </conditionalFormatting>
  <conditionalFormatting sqref="Q22">
    <cfRule type="colorScale" priority="8">
      <colorScale>
        <cfvo type="min"/>
        <cfvo type="percentile" val="50"/>
        <cfvo type="max"/>
        <color rgb="FF63BE7B"/>
        <color rgb="FFFFEB84"/>
        <color rgb="FFF8696B"/>
      </colorScale>
    </cfRule>
  </conditionalFormatting>
  <conditionalFormatting sqref="Q12:Q21 Q24:Q34">
    <cfRule type="colorScale" priority="126">
      <colorScale>
        <cfvo type="min"/>
        <cfvo type="percentile" val="50"/>
        <cfvo type="max"/>
        <color rgb="FF63BE7B"/>
        <color rgb="FFFFEB84"/>
        <color rgb="FFF8696B"/>
      </colorScale>
    </cfRule>
  </conditionalFormatting>
  <conditionalFormatting sqref="H35:H55">
    <cfRule type="containsText" dxfId="5" priority="5" operator="containsText" text="Moderado">
      <formula>NOT(ISERROR(SEARCH("Moderado",H35)))</formula>
    </cfRule>
    <cfRule type="containsText" dxfId="4" priority="6" operator="containsText" text="Alto">
      <formula>NOT(ISERROR(SEARCH("Alto",H35)))</formula>
    </cfRule>
    <cfRule type="containsText" dxfId="3" priority="7" operator="containsText" text="Muy Alto">
      <formula>NOT(ISERROR(SEARCH("Muy Alto",H35)))</formula>
    </cfRule>
  </conditionalFormatting>
  <conditionalFormatting sqref="H35:H55">
    <cfRule type="containsText" dxfId="2" priority="3" operator="containsText" text="Muy Bajo">
      <formula>NOT(ISERROR(SEARCH("Muy Bajo",H35)))</formula>
    </cfRule>
    <cfRule type="containsText" dxfId="1" priority="4" operator="containsText" text="Bajo">
      <formula>NOT(ISERROR(SEARCH("Bajo",H35)))</formula>
    </cfRule>
  </conditionalFormatting>
  <conditionalFormatting sqref="H35:H55">
    <cfRule type="containsText" dxfId="0" priority="2" operator="containsText" text="Extremo">
      <formula>NOT(ISERROR(SEARCH("Extremo",H35)))</formula>
    </cfRule>
  </conditionalFormatting>
  <conditionalFormatting sqref="Q35:Q55">
    <cfRule type="colorScale" priority="130">
      <colorScale>
        <cfvo type="min"/>
        <cfvo type="percentile" val="50"/>
        <cfvo type="max"/>
        <color rgb="FF63BE7B"/>
        <color rgb="FFFFEB84"/>
        <color rgb="FFF8696B"/>
      </colorScale>
    </cfRule>
  </conditionalFormatting>
  <dataValidations count="1">
    <dataValidation type="list" allowBlank="1" showInputMessage="1" showErrorMessage="1" sqref="J12:J55 L12:L55">
      <formula1>"Si,No"</formula1>
    </dataValidation>
  </dataValidations>
  <pageMargins left="0.7" right="0.7" top="0.75" bottom="0.75" header="0.3" footer="0.3"/>
  <pageSetup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59"/>
  <sheetViews>
    <sheetView topLeftCell="A4" zoomScale="130" zoomScaleNormal="130" workbookViewId="0">
      <selection activeCell="D36" sqref="D36"/>
    </sheetView>
  </sheetViews>
  <sheetFormatPr baseColWidth="10" defaultColWidth="11.42578125" defaultRowHeight="15" x14ac:dyDescent="0.25"/>
  <cols>
    <col min="2" max="2" width="23.42578125" bestFit="1" customWidth="1"/>
    <col min="3" max="3" width="20" bestFit="1" customWidth="1"/>
    <col min="4" max="4" width="23.140625" customWidth="1"/>
  </cols>
  <sheetData>
    <row r="2" spans="2:6" ht="15" customHeight="1" x14ac:dyDescent="0.25">
      <c r="B2" s="519"/>
      <c r="C2" s="519"/>
      <c r="D2" s="519"/>
    </row>
    <row r="3" spans="2:6" ht="15" customHeight="1" x14ac:dyDescent="0.25">
      <c r="B3" s="519"/>
      <c r="C3" s="519"/>
      <c r="D3" s="519"/>
    </row>
    <row r="4" spans="2:6" x14ac:dyDescent="0.25">
      <c r="B4" s="429"/>
      <c r="C4" s="429"/>
      <c r="D4" s="429"/>
    </row>
    <row r="5" spans="2:6" x14ac:dyDescent="0.25">
      <c r="B5" s="430"/>
      <c r="C5" s="431"/>
      <c r="D5" s="432"/>
    </row>
    <row r="6" spans="2:6" ht="15" customHeight="1" x14ac:dyDescent="0.25">
      <c r="B6" s="519"/>
      <c r="C6" s="519"/>
      <c r="D6" s="519"/>
    </row>
    <row r="7" spans="2:6" x14ac:dyDescent="0.25">
      <c r="B7" s="429"/>
      <c r="C7" s="429"/>
      <c r="D7" s="429"/>
    </row>
    <row r="8" spans="2:6" ht="18.75" x14ac:dyDescent="0.3">
      <c r="B8" s="430"/>
      <c r="C8" s="431"/>
      <c r="D8" s="432"/>
      <c r="F8" s="251"/>
    </row>
    <row r="9" spans="2:6" ht="15" customHeight="1" x14ac:dyDescent="0.3">
      <c r="B9" s="519"/>
      <c r="C9" s="519"/>
      <c r="D9" s="519"/>
      <c r="F9" s="252"/>
    </row>
    <row r="10" spans="2:6" x14ac:dyDescent="0.25">
      <c r="B10" s="429"/>
      <c r="C10" s="429"/>
      <c r="D10" s="429"/>
    </row>
    <row r="11" spans="2:6" ht="135.75" customHeight="1" x14ac:dyDescent="0.25">
      <c r="B11" s="430"/>
      <c r="C11" s="431"/>
      <c r="D11" s="432"/>
    </row>
    <row r="12" spans="2:6" ht="15" customHeight="1" x14ac:dyDescent="0.25">
      <c r="B12" s="519"/>
      <c r="C12" s="519"/>
      <c r="D12" s="519"/>
    </row>
    <row r="13" spans="2:6" x14ac:dyDescent="0.25">
      <c r="B13" s="429"/>
      <c r="C13" s="429"/>
      <c r="D13" s="429"/>
    </row>
    <row r="14" spans="2:6" x14ac:dyDescent="0.25">
      <c r="B14" s="430"/>
      <c r="C14" s="431"/>
      <c r="D14" s="432"/>
    </row>
    <row r="15" spans="2:6" ht="15" customHeight="1" x14ac:dyDescent="0.25">
      <c r="B15" s="519"/>
      <c r="C15" s="519"/>
      <c r="D15" s="519"/>
    </row>
    <row r="16" spans="2:6" x14ac:dyDescent="0.25">
      <c r="B16" s="429"/>
      <c r="C16" s="429"/>
      <c r="D16" s="429"/>
    </row>
    <row r="17" spans="1:11" ht="33" customHeight="1" x14ac:dyDescent="0.25">
      <c r="B17" s="430"/>
      <c r="C17" s="431"/>
      <c r="D17" s="432"/>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435" t="s">
        <v>606</v>
      </c>
      <c r="D26" s="435" t="s">
        <v>605</v>
      </c>
      <c r="F26" s="15"/>
      <c r="G26" s="15"/>
      <c r="H26" s="15"/>
      <c r="I26" s="15"/>
      <c r="J26" s="15"/>
      <c r="K26" s="15"/>
    </row>
    <row r="27" spans="1:11" x14ac:dyDescent="0.25">
      <c r="A27" s="15"/>
      <c r="B27" s="15"/>
      <c r="C27" s="433">
        <v>2022</v>
      </c>
      <c r="D27" s="434">
        <v>99.2</v>
      </c>
      <c r="F27" s="15"/>
      <c r="G27" s="15"/>
      <c r="H27" s="15"/>
      <c r="I27" s="15"/>
      <c r="J27" s="15"/>
      <c r="K27" s="15"/>
    </row>
    <row r="28" spans="1:11" x14ac:dyDescent="0.25">
      <c r="A28" s="15"/>
      <c r="B28" s="15"/>
      <c r="C28" s="433">
        <v>2021</v>
      </c>
      <c r="D28" s="434">
        <v>96</v>
      </c>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row r="48" spans="1:11" x14ac:dyDescent="0.25">
      <c r="A48" s="15"/>
      <c r="B48" s="15"/>
      <c r="C48" s="15"/>
      <c r="D48" s="15"/>
      <c r="E48" s="15"/>
      <c r="F48" s="15"/>
      <c r="G48" s="15"/>
      <c r="H48" s="15"/>
      <c r="I48" s="15"/>
      <c r="J48" s="15"/>
      <c r="K48" s="15"/>
    </row>
    <row r="49" spans="1:11" x14ac:dyDescent="0.25">
      <c r="A49" s="15"/>
      <c r="B49" s="15"/>
      <c r="C49" s="15"/>
      <c r="D49" s="15"/>
      <c r="E49" s="15"/>
      <c r="F49" s="15"/>
      <c r="G49" s="15"/>
      <c r="H49" s="15"/>
      <c r="I49" s="15"/>
      <c r="J49" s="15"/>
      <c r="K49" s="15"/>
    </row>
    <row r="50" spans="1:11" x14ac:dyDescent="0.25">
      <c r="A50" s="15"/>
      <c r="B50" s="15"/>
      <c r="C50" s="15"/>
      <c r="D50" s="15"/>
      <c r="E50" s="15"/>
      <c r="F50" s="15"/>
      <c r="G50" s="15"/>
      <c r="H50" s="15"/>
      <c r="I50" s="15"/>
      <c r="J50" s="15"/>
      <c r="K50" s="15"/>
    </row>
    <row r="51" spans="1:11" x14ac:dyDescent="0.25">
      <c r="A51" s="15"/>
      <c r="B51" s="15"/>
      <c r="C51" s="15"/>
      <c r="D51" s="15"/>
      <c r="E51" s="15"/>
      <c r="F51" s="15"/>
      <c r="G51" s="15"/>
      <c r="H51" s="15"/>
      <c r="I51" s="15"/>
      <c r="J51" s="15"/>
      <c r="K51" s="15"/>
    </row>
    <row r="52" spans="1:11" x14ac:dyDescent="0.25">
      <c r="A52" s="15"/>
      <c r="B52" s="15"/>
      <c r="C52" s="15"/>
      <c r="D52" s="15"/>
      <c r="E52" s="15"/>
      <c r="F52" s="15"/>
      <c r="G52" s="15"/>
      <c r="H52" s="15"/>
      <c r="I52" s="15"/>
      <c r="J52" s="15"/>
      <c r="K52" s="15"/>
    </row>
    <row r="53" spans="1:11" x14ac:dyDescent="0.25">
      <c r="A53" s="15"/>
      <c r="B53" s="15"/>
      <c r="C53" s="15"/>
      <c r="D53" s="15"/>
      <c r="E53" s="15"/>
      <c r="F53" s="15"/>
      <c r="G53" s="15"/>
      <c r="H53" s="15"/>
      <c r="I53" s="15"/>
      <c r="J53" s="15"/>
      <c r="K53" s="15"/>
    </row>
    <row r="54" spans="1:11" x14ac:dyDescent="0.25">
      <c r="A54" s="15"/>
      <c r="B54" s="15"/>
      <c r="C54" s="15"/>
      <c r="D54" s="15"/>
      <c r="E54" s="15"/>
      <c r="F54" s="15"/>
      <c r="G54" s="15"/>
      <c r="H54" s="15"/>
      <c r="I54" s="15"/>
      <c r="J54" s="15"/>
      <c r="K54" s="15"/>
    </row>
    <row r="55" spans="1:11" x14ac:dyDescent="0.25">
      <c r="A55" s="15"/>
      <c r="B55" s="15"/>
      <c r="C55" s="15"/>
      <c r="D55" s="15"/>
      <c r="E55" s="15"/>
      <c r="F55" s="15"/>
      <c r="G55" s="15"/>
      <c r="H55" s="15"/>
      <c r="I55" s="15"/>
      <c r="J55" s="15"/>
      <c r="K55" s="15"/>
    </row>
    <row r="56" spans="1:11" x14ac:dyDescent="0.25">
      <c r="A56" s="15"/>
      <c r="B56" s="15"/>
      <c r="C56" s="15"/>
      <c r="D56" s="15"/>
      <c r="E56" s="15"/>
      <c r="F56" s="15"/>
      <c r="G56" s="15"/>
      <c r="H56" s="15"/>
      <c r="I56" s="15"/>
      <c r="J56" s="15"/>
      <c r="K56" s="15"/>
    </row>
    <row r="57" spans="1:11" x14ac:dyDescent="0.25">
      <c r="A57" s="15"/>
      <c r="B57" s="15"/>
      <c r="C57" s="15"/>
      <c r="D57" s="15"/>
      <c r="E57" s="15"/>
      <c r="F57" s="15"/>
      <c r="G57" s="15"/>
      <c r="H57" s="15"/>
      <c r="I57" s="15"/>
      <c r="J57" s="15"/>
      <c r="K57" s="15"/>
    </row>
    <row r="58" spans="1:11" x14ac:dyDescent="0.25">
      <c r="A58" s="15"/>
      <c r="B58" s="15"/>
      <c r="C58" s="15"/>
      <c r="D58" s="15"/>
      <c r="E58" s="15"/>
      <c r="F58" s="15"/>
      <c r="G58" s="15"/>
      <c r="H58" s="15"/>
      <c r="I58" s="15"/>
      <c r="J58" s="15"/>
      <c r="K58" s="15"/>
    </row>
    <row r="59" spans="1:11" x14ac:dyDescent="0.25">
      <c r="A59" s="15"/>
      <c r="B59" s="15"/>
      <c r="C59" s="15"/>
      <c r="D59" s="15"/>
      <c r="E59" s="15"/>
      <c r="F59" s="15"/>
      <c r="G59" s="15"/>
      <c r="H59" s="15"/>
      <c r="I59" s="15"/>
      <c r="J59" s="15"/>
      <c r="K59" s="15"/>
    </row>
  </sheetData>
  <mergeCells count="6">
    <mergeCell ref="B15:D15"/>
    <mergeCell ref="B2:D2"/>
    <mergeCell ref="B3:D3"/>
    <mergeCell ref="B6:D6"/>
    <mergeCell ref="B9:D9"/>
    <mergeCell ref="B12:D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85" zoomScaleNormal="85" workbookViewId="0">
      <selection activeCell="U40" sqref="U40"/>
    </sheetView>
  </sheetViews>
  <sheetFormatPr baseColWidth="10" defaultColWidth="11.4257812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4" workbookViewId="0">
      <selection activeCell="L87" sqref="L87"/>
    </sheetView>
  </sheetViews>
  <sheetFormatPr baseColWidth="10" defaultColWidth="11.42578125" defaultRowHeight="15" x14ac:dyDescent="0.25"/>
  <cols>
    <col min="1" max="1" width="43.28515625" style="59" customWidth="1"/>
    <col min="2" max="2" width="103.7109375" style="59" customWidth="1"/>
    <col min="3" max="16384" width="11.42578125" style="59"/>
  </cols>
  <sheetData>
    <row r="1" spans="1:2" ht="46.5" customHeight="1" x14ac:dyDescent="0.25">
      <c r="A1" s="520" t="s">
        <v>27</v>
      </c>
      <c r="B1" s="521"/>
    </row>
    <row r="2" spans="1:2" ht="78" customHeight="1" x14ac:dyDescent="0.25">
      <c r="A2" s="57" t="s">
        <v>49</v>
      </c>
      <c r="B2" s="52" t="s">
        <v>28</v>
      </c>
    </row>
    <row r="3" spans="1:2" ht="78" customHeight="1" x14ac:dyDescent="0.25">
      <c r="A3" s="57" t="s">
        <v>48</v>
      </c>
      <c r="B3" s="52" t="s">
        <v>47</v>
      </c>
    </row>
    <row r="4" spans="1:2" ht="78" customHeight="1" x14ac:dyDescent="0.25">
      <c r="A4" s="57" t="s">
        <v>50</v>
      </c>
      <c r="B4" s="52" t="s">
        <v>95</v>
      </c>
    </row>
    <row r="5" spans="1:2" ht="201.75" customHeight="1" x14ac:dyDescent="0.25">
      <c r="A5" s="57" t="s">
        <v>29</v>
      </c>
      <c r="B5" s="52" t="s">
        <v>30</v>
      </c>
    </row>
    <row r="6" spans="1:2" ht="78" customHeight="1" x14ac:dyDescent="0.25">
      <c r="A6" s="57" t="s">
        <v>51</v>
      </c>
      <c r="B6" s="52" t="s">
        <v>31</v>
      </c>
    </row>
    <row r="7" spans="1:2" ht="78" customHeight="1" x14ac:dyDescent="0.25">
      <c r="A7" s="56" t="s">
        <v>32</v>
      </c>
      <c r="B7" s="52" t="s">
        <v>33</v>
      </c>
    </row>
    <row r="8" spans="1:2" ht="78" customHeight="1" x14ac:dyDescent="0.25">
      <c r="A8" s="57" t="s">
        <v>52</v>
      </c>
      <c r="B8" s="52" t="s">
        <v>34</v>
      </c>
    </row>
    <row r="9" spans="1:2" ht="78" customHeight="1" x14ac:dyDescent="0.25">
      <c r="A9" s="56" t="s">
        <v>35</v>
      </c>
      <c r="B9" s="52" t="s">
        <v>54</v>
      </c>
    </row>
    <row r="10" spans="1:2" ht="78" customHeight="1" x14ac:dyDescent="0.25">
      <c r="A10" s="56" t="s">
        <v>36</v>
      </c>
      <c r="B10" s="52" t="s">
        <v>37</v>
      </c>
    </row>
    <row r="11" spans="1:2" ht="78" customHeight="1" x14ac:dyDescent="0.25">
      <c r="A11" s="57" t="s">
        <v>38</v>
      </c>
      <c r="B11" s="52" t="s">
        <v>39</v>
      </c>
    </row>
    <row r="12" spans="1:2" ht="78" customHeight="1" x14ac:dyDescent="0.25">
      <c r="A12" s="57" t="s">
        <v>40</v>
      </c>
      <c r="B12" s="52" t="s">
        <v>55</v>
      </c>
    </row>
    <row r="13" spans="1:2" ht="78" customHeight="1" x14ac:dyDescent="0.25">
      <c r="A13" s="57" t="s">
        <v>41</v>
      </c>
      <c r="B13" s="52" t="s">
        <v>42</v>
      </c>
    </row>
    <row r="14" spans="1:2" ht="110.25" customHeight="1" x14ac:dyDescent="0.25">
      <c r="A14" s="57" t="s">
        <v>43</v>
      </c>
      <c r="B14" s="52" t="s">
        <v>44</v>
      </c>
    </row>
    <row r="15" spans="1:2" ht="78" customHeight="1" x14ac:dyDescent="0.25">
      <c r="A15" s="57" t="s">
        <v>53</v>
      </c>
      <c r="B15" s="52" t="s">
        <v>276</v>
      </c>
    </row>
    <row r="16" spans="1:2" ht="78" customHeight="1" x14ac:dyDescent="0.25">
      <c r="A16" s="161" t="s">
        <v>45</v>
      </c>
      <c r="B16" s="162" t="s">
        <v>46</v>
      </c>
    </row>
    <row r="20" spans="1:1" x14ac:dyDescent="0.25">
      <c r="A20" s="163"/>
    </row>
    <row r="21" spans="1:1" x14ac:dyDescent="0.25">
      <c r="A21" s="164"/>
    </row>
    <row r="22" spans="1:1" x14ac:dyDescent="0.25">
      <c r="A22" s="164"/>
    </row>
    <row r="23" spans="1:1" x14ac:dyDescent="0.25">
      <c r="A23" s="164"/>
    </row>
    <row r="24" spans="1:1" x14ac:dyDescent="0.25">
      <c r="A24" s="160"/>
    </row>
    <row r="25" spans="1:1" x14ac:dyDescent="0.25">
      <c r="A25" s="160"/>
    </row>
    <row r="26" spans="1:1" x14ac:dyDescent="0.25">
      <c r="A26" s="160"/>
    </row>
    <row r="27" spans="1:1" x14ac:dyDescent="0.25">
      <c r="A27" s="160"/>
    </row>
  </sheetData>
  <sortState ref="A6:A19">
    <sortCondition ref="A5"/>
  </sortState>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2"/>
  <sheetViews>
    <sheetView topLeftCell="A8" workbookViewId="0">
      <selection activeCell="C10" sqref="C10:K10"/>
    </sheetView>
  </sheetViews>
  <sheetFormatPr baseColWidth="10" defaultColWidth="11.42578125" defaultRowHeight="15" x14ac:dyDescent="0.25"/>
  <cols>
    <col min="1" max="2" width="11.42578125" style="15"/>
    <col min="3" max="3" width="16.85546875" style="15" customWidth="1"/>
    <col min="4" max="16384" width="11.42578125" style="15"/>
  </cols>
  <sheetData>
    <row r="4" spans="3:11" ht="15.75" thickBot="1" x14ac:dyDescent="0.3"/>
    <row r="5" spans="3:11" x14ac:dyDescent="0.25">
      <c r="C5" s="139" t="s">
        <v>235</v>
      </c>
      <c r="D5" s="140"/>
      <c r="E5" s="140"/>
      <c r="F5" s="140"/>
      <c r="G5" s="140"/>
      <c r="H5" s="140"/>
      <c r="I5" s="140"/>
      <c r="J5" s="140"/>
      <c r="K5" s="141"/>
    </row>
    <row r="6" spans="3:11" ht="15.75" thickBot="1" x14ac:dyDescent="0.3">
      <c r="C6" s="142" t="s">
        <v>237</v>
      </c>
      <c r="D6" s="143" t="s">
        <v>236</v>
      </c>
      <c r="E6" s="143"/>
      <c r="F6" s="143"/>
      <c r="G6" s="143"/>
      <c r="H6" s="143"/>
      <c r="I6" s="143"/>
      <c r="J6" s="143"/>
      <c r="K6" s="144"/>
    </row>
    <row r="9" spans="3:11" ht="272.25" customHeight="1" x14ac:dyDescent="0.25">
      <c r="C9" s="522" t="s">
        <v>242</v>
      </c>
      <c r="D9" s="522"/>
      <c r="E9" s="522"/>
      <c r="F9" s="522"/>
      <c r="G9" s="522"/>
      <c r="H9" s="522"/>
      <c r="I9" s="522"/>
      <c r="J9" s="522"/>
      <c r="K9" s="522"/>
    </row>
    <row r="10" spans="3:11" ht="135" customHeight="1" x14ac:dyDescent="0.25">
      <c r="C10" s="522" t="s">
        <v>608</v>
      </c>
      <c r="D10" s="522"/>
      <c r="E10" s="522"/>
      <c r="F10" s="522"/>
      <c r="G10" s="522"/>
      <c r="H10" s="522"/>
      <c r="I10" s="522"/>
      <c r="J10" s="522"/>
      <c r="K10" s="522"/>
    </row>
    <row r="11" spans="3:11" ht="205.5" customHeight="1" x14ac:dyDescent="0.25">
      <c r="C11" s="157"/>
      <c r="D11" s="157"/>
      <c r="E11" s="157"/>
      <c r="F11" s="157"/>
      <c r="G11" s="157"/>
      <c r="H11" s="157"/>
      <c r="I11" s="157"/>
      <c r="J11" s="157"/>
      <c r="K11" s="157"/>
    </row>
    <row r="12" spans="3:11" ht="39.75" customHeight="1" x14ac:dyDescent="0.25">
      <c r="C12" s="523" t="s">
        <v>243</v>
      </c>
      <c r="D12" s="523"/>
      <c r="E12" s="523"/>
      <c r="F12" s="523"/>
      <c r="G12" s="523"/>
      <c r="H12" s="523"/>
      <c r="I12" s="523"/>
      <c r="J12" s="523"/>
      <c r="K12" s="523"/>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27" workbookViewId="0">
      <selection activeCell="F38" sqref="F38"/>
    </sheetView>
  </sheetViews>
  <sheetFormatPr baseColWidth="10" defaultColWidth="11.42578125" defaultRowHeight="15" x14ac:dyDescent="0.25"/>
  <cols>
    <col min="1" max="1" width="24.140625" style="15" customWidth="1"/>
    <col min="2" max="2" width="44.42578125" style="15" customWidth="1"/>
    <col min="3" max="3" width="47.28515625" style="15" bestFit="1" customWidth="1"/>
    <col min="4" max="4" width="27" style="63" customWidth="1"/>
    <col min="5" max="5" width="25.28515625" style="15" customWidth="1"/>
    <col min="6" max="6" width="45.7109375" style="15" customWidth="1"/>
    <col min="7" max="13" width="11.42578125" style="15"/>
    <col min="14" max="14" width="27.5703125" style="15" customWidth="1"/>
    <col min="15" max="16384" width="11.42578125" style="15"/>
  </cols>
  <sheetData>
    <row r="1" spans="1:14" ht="72" customHeight="1" x14ac:dyDescent="0.25">
      <c r="A1"/>
      <c r="B1" s="524" t="s">
        <v>435</v>
      </c>
      <c r="C1" s="524"/>
      <c r="D1" s="524"/>
      <c r="E1" s="524"/>
      <c r="F1" s="525"/>
      <c r="G1" s="60"/>
      <c r="H1" s="60"/>
      <c r="I1" s="60"/>
      <c r="J1" s="60"/>
      <c r="K1" s="60"/>
      <c r="L1" s="60"/>
      <c r="M1" s="62"/>
      <c r="N1" s="63"/>
    </row>
    <row r="2" spans="1:14" ht="16.5" x14ac:dyDescent="0.3">
      <c r="A2" s="64" t="s">
        <v>99</v>
      </c>
      <c r="B2" s="186">
        <v>45657</v>
      </c>
      <c r="F2" s="16"/>
    </row>
    <row r="3" spans="1:14" ht="76.5" customHeight="1" x14ac:dyDescent="0.25">
      <c r="A3" s="526" t="s">
        <v>126</v>
      </c>
      <c r="B3" s="527"/>
      <c r="C3" s="527"/>
      <c r="D3" s="527"/>
      <c r="E3" s="527"/>
      <c r="F3" s="528"/>
    </row>
    <row r="4" spans="1:14" ht="24.75" customHeight="1" x14ac:dyDescent="0.25">
      <c r="A4" s="65"/>
      <c r="B4"/>
      <c r="C4"/>
      <c r="D4" s="197"/>
      <c r="E4"/>
      <c r="F4" s="66"/>
      <c r="H4"/>
    </row>
    <row r="5" spans="1:14" ht="28.5" x14ac:dyDescent="0.25">
      <c r="A5" s="67" t="s">
        <v>63</v>
      </c>
      <c r="B5" s="49" t="s">
        <v>58</v>
      </c>
      <c r="C5" s="49" t="s">
        <v>59</v>
      </c>
      <c r="D5" s="49" t="s">
        <v>60</v>
      </c>
      <c r="E5" s="49" t="s">
        <v>62</v>
      </c>
      <c r="F5" s="68" t="s">
        <v>61</v>
      </c>
      <c r="G5" s="61"/>
    </row>
    <row r="6" spans="1:14" ht="30.75" customHeight="1" x14ac:dyDescent="0.25">
      <c r="A6" s="531" t="s">
        <v>64</v>
      </c>
      <c r="B6" s="55" t="s">
        <v>70</v>
      </c>
      <c r="C6" s="187" t="s">
        <v>451</v>
      </c>
      <c r="D6" s="196">
        <v>45175</v>
      </c>
      <c r="E6" s="54" t="s">
        <v>348</v>
      </c>
      <c r="F6" s="69"/>
    </row>
    <row r="7" spans="1:14" ht="30.75" customHeight="1" x14ac:dyDescent="0.25">
      <c r="A7" s="531"/>
      <c r="B7" s="55" t="s">
        <v>65</v>
      </c>
      <c r="C7" s="187" t="s">
        <v>452</v>
      </c>
      <c r="D7" s="196">
        <v>44636</v>
      </c>
      <c r="E7" s="54" t="s">
        <v>348</v>
      </c>
      <c r="F7" s="69"/>
    </row>
    <row r="8" spans="1:14" ht="30.75" customHeight="1" x14ac:dyDescent="0.25">
      <c r="A8" s="531"/>
      <c r="B8" s="55" t="s">
        <v>66</v>
      </c>
      <c r="C8" s="187" t="s">
        <v>452</v>
      </c>
      <c r="D8" s="196">
        <v>44636</v>
      </c>
      <c r="E8" s="54" t="s">
        <v>348</v>
      </c>
      <c r="F8" s="69"/>
    </row>
    <row r="9" spans="1:14" ht="16.5" x14ac:dyDescent="0.25">
      <c r="A9" s="531"/>
      <c r="B9" s="55" t="s">
        <v>68</v>
      </c>
      <c r="C9" s="188" t="s">
        <v>453</v>
      </c>
      <c r="D9" s="196">
        <v>44182</v>
      </c>
      <c r="E9" s="54" t="s">
        <v>348</v>
      </c>
      <c r="F9" s="69"/>
    </row>
    <row r="10" spans="1:14" ht="33" x14ac:dyDescent="0.25">
      <c r="A10" s="531"/>
      <c r="B10" s="55" t="s">
        <v>69</v>
      </c>
      <c r="C10" s="188" t="s">
        <v>453</v>
      </c>
      <c r="D10" s="196">
        <v>44043</v>
      </c>
      <c r="E10" s="54" t="s">
        <v>348</v>
      </c>
      <c r="F10" s="69"/>
    </row>
    <row r="11" spans="1:14" ht="30.75" customHeight="1" x14ac:dyDescent="0.25">
      <c r="A11" s="531"/>
      <c r="B11" s="55" t="s">
        <v>67</v>
      </c>
      <c r="C11" s="188" t="s">
        <v>405</v>
      </c>
      <c r="D11" s="54" t="s">
        <v>406</v>
      </c>
      <c r="E11" s="54" t="s">
        <v>348</v>
      </c>
      <c r="F11" s="69"/>
    </row>
    <row r="12" spans="1:14" ht="30.75" customHeight="1" x14ac:dyDescent="0.25">
      <c r="A12" s="531"/>
      <c r="B12" s="55" t="s">
        <v>82</v>
      </c>
      <c r="C12" s="188" t="s">
        <v>454</v>
      </c>
      <c r="D12" s="196">
        <v>45322</v>
      </c>
      <c r="E12" s="54" t="s">
        <v>348</v>
      </c>
      <c r="F12" s="69"/>
    </row>
    <row r="13" spans="1:14" ht="30.75" customHeight="1" x14ac:dyDescent="0.25">
      <c r="A13" s="531"/>
      <c r="B13" s="55" t="s">
        <v>71</v>
      </c>
      <c r="C13" s="187" t="s">
        <v>455</v>
      </c>
      <c r="D13" s="196">
        <v>45261</v>
      </c>
      <c r="E13" s="54" t="s">
        <v>348</v>
      </c>
      <c r="F13" s="69"/>
    </row>
    <row r="14" spans="1:14" ht="30.75" customHeight="1" x14ac:dyDescent="0.25">
      <c r="A14" s="531"/>
      <c r="B14" s="55" t="s">
        <v>234</v>
      </c>
      <c r="C14" s="187" t="s">
        <v>609</v>
      </c>
      <c r="D14" s="196">
        <v>44886</v>
      </c>
      <c r="E14" s="54" t="s">
        <v>348</v>
      </c>
      <c r="F14" s="69"/>
    </row>
    <row r="15" spans="1:14" ht="30.75" customHeight="1" x14ac:dyDescent="0.25">
      <c r="A15" s="531"/>
      <c r="B15" s="55" t="s">
        <v>83</v>
      </c>
      <c r="C15" s="188" t="s">
        <v>456</v>
      </c>
      <c r="D15" s="54" t="s">
        <v>610</v>
      </c>
      <c r="E15" s="54" t="s">
        <v>348</v>
      </c>
      <c r="F15" s="69"/>
    </row>
    <row r="16" spans="1:14" ht="31.5" customHeight="1" x14ac:dyDescent="0.25">
      <c r="A16" s="531"/>
      <c r="B16" s="55" t="s">
        <v>91</v>
      </c>
      <c r="C16" s="188" t="s">
        <v>457</v>
      </c>
      <c r="D16" s="196">
        <v>43979</v>
      </c>
      <c r="E16" s="54" t="s">
        <v>348</v>
      </c>
      <c r="F16" s="69"/>
    </row>
    <row r="17" spans="1:6" ht="37.5" customHeight="1" x14ac:dyDescent="0.3">
      <c r="A17" s="529" t="s">
        <v>72</v>
      </c>
      <c r="B17" s="58" t="s">
        <v>73</v>
      </c>
      <c r="C17" s="188" t="s">
        <v>458</v>
      </c>
      <c r="D17" s="200" t="s">
        <v>611</v>
      </c>
      <c r="E17" s="54" t="s">
        <v>348</v>
      </c>
      <c r="F17" s="70"/>
    </row>
    <row r="18" spans="1:6" ht="37.5" customHeight="1" x14ac:dyDescent="0.3">
      <c r="A18" s="529"/>
      <c r="B18" s="58" t="s">
        <v>74</v>
      </c>
      <c r="C18" s="188" t="s">
        <v>459</v>
      </c>
      <c r="D18" s="200">
        <v>2023</v>
      </c>
      <c r="E18" s="54" t="s">
        <v>348</v>
      </c>
      <c r="F18" s="70"/>
    </row>
    <row r="19" spans="1:6" ht="37.5" customHeight="1" x14ac:dyDescent="0.3">
      <c r="A19" s="529"/>
      <c r="B19" s="58" t="s">
        <v>75</v>
      </c>
      <c r="C19" s="188" t="s">
        <v>461</v>
      </c>
      <c r="D19" s="202">
        <v>45248</v>
      </c>
      <c r="E19" s="54" t="s">
        <v>348</v>
      </c>
      <c r="F19" s="70"/>
    </row>
    <row r="20" spans="1:6" ht="37.5" customHeight="1" x14ac:dyDescent="0.3">
      <c r="A20" s="529"/>
      <c r="B20" s="58" t="s">
        <v>76</v>
      </c>
      <c r="C20" s="201" t="s">
        <v>460</v>
      </c>
      <c r="D20" s="202">
        <v>45248</v>
      </c>
      <c r="E20" s="54" t="s">
        <v>349</v>
      </c>
      <c r="F20" s="70"/>
    </row>
    <row r="21" spans="1:6" ht="37.5" customHeight="1" x14ac:dyDescent="0.3">
      <c r="A21" s="529"/>
      <c r="B21" s="58" t="s">
        <v>77</v>
      </c>
      <c r="C21" s="188" t="s">
        <v>462</v>
      </c>
      <c r="D21" s="200" t="s">
        <v>347</v>
      </c>
      <c r="E21" s="54" t="s">
        <v>12</v>
      </c>
      <c r="F21" s="70"/>
    </row>
    <row r="22" spans="1:6" ht="37.5" customHeight="1" x14ac:dyDescent="0.3">
      <c r="A22" s="529"/>
      <c r="B22" s="58" t="s">
        <v>100</v>
      </c>
      <c r="C22" s="187" t="s">
        <v>455</v>
      </c>
      <c r="D22" s="202">
        <v>45248</v>
      </c>
      <c r="E22" s="54" t="s">
        <v>348</v>
      </c>
      <c r="F22" s="70"/>
    </row>
    <row r="23" spans="1:6" ht="30" x14ac:dyDescent="0.3">
      <c r="A23" s="529"/>
      <c r="B23" s="58" t="s">
        <v>78</v>
      </c>
      <c r="C23" s="188" t="s">
        <v>463</v>
      </c>
      <c r="D23" s="202">
        <v>45322</v>
      </c>
      <c r="E23" s="54" t="s">
        <v>348</v>
      </c>
      <c r="F23" s="70"/>
    </row>
    <row r="24" spans="1:6" ht="37.5" customHeight="1" x14ac:dyDescent="0.3">
      <c r="A24" s="529"/>
      <c r="B24" s="55" t="s">
        <v>79</v>
      </c>
      <c r="C24" s="260" t="s">
        <v>464</v>
      </c>
      <c r="D24" s="200">
        <v>2023</v>
      </c>
      <c r="E24" s="54" t="s">
        <v>348</v>
      </c>
      <c r="F24" s="70"/>
    </row>
    <row r="25" spans="1:6" ht="37.5" customHeight="1" x14ac:dyDescent="0.3">
      <c r="A25" s="529"/>
      <c r="B25" s="55" t="s">
        <v>80</v>
      </c>
      <c r="C25" s="188" t="s">
        <v>465</v>
      </c>
      <c r="D25" s="200">
        <v>2023</v>
      </c>
      <c r="E25" s="54" t="s">
        <v>348</v>
      </c>
      <c r="F25" s="70"/>
    </row>
    <row r="26" spans="1:6" ht="37.5" customHeight="1" x14ac:dyDescent="0.3">
      <c r="A26" s="529"/>
      <c r="B26" s="55" t="s">
        <v>81</v>
      </c>
      <c r="C26" s="188" t="s">
        <v>466</v>
      </c>
      <c r="D26" s="436">
        <v>45292</v>
      </c>
      <c r="E26" s="54" t="s">
        <v>348</v>
      </c>
      <c r="F26" s="70"/>
    </row>
    <row r="27" spans="1:6" ht="37.5" customHeight="1" x14ac:dyDescent="0.3">
      <c r="A27" s="529"/>
      <c r="B27" s="55" t="s">
        <v>84</v>
      </c>
      <c r="C27" s="188" t="s">
        <v>467</v>
      </c>
      <c r="D27" s="200" t="s">
        <v>612</v>
      </c>
      <c r="E27" s="54" t="s">
        <v>348</v>
      </c>
      <c r="F27" s="70"/>
    </row>
    <row r="28" spans="1:6" ht="16.5" x14ac:dyDescent="0.3">
      <c r="A28" s="532" t="s">
        <v>88</v>
      </c>
      <c r="B28" s="55" t="s">
        <v>89</v>
      </c>
      <c r="C28" s="188" t="s">
        <v>468</v>
      </c>
      <c r="D28" s="200">
        <v>2023</v>
      </c>
      <c r="E28" s="54" t="s">
        <v>348</v>
      </c>
      <c r="F28" s="70"/>
    </row>
    <row r="29" spans="1:6" ht="37.5" customHeight="1" x14ac:dyDescent="0.3">
      <c r="A29" s="533"/>
      <c r="B29" s="55" t="s">
        <v>90</v>
      </c>
      <c r="C29" s="188" t="s">
        <v>469</v>
      </c>
      <c r="D29" s="202">
        <v>45169</v>
      </c>
      <c r="E29" s="54" t="s">
        <v>348</v>
      </c>
      <c r="F29" s="70"/>
    </row>
    <row r="30" spans="1:6" ht="37.5" customHeight="1" x14ac:dyDescent="0.3">
      <c r="A30" s="533"/>
      <c r="B30" s="55" t="s">
        <v>92</v>
      </c>
      <c r="C30" s="188" t="s">
        <v>470</v>
      </c>
      <c r="D30" s="200">
        <v>2023</v>
      </c>
      <c r="E30" s="54" t="s">
        <v>348</v>
      </c>
      <c r="F30" s="70"/>
    </row>
    <row r="31" spans="1:6" ht="30" x14ac:dyDescent="0.3">
      <c r="A31" s="533"/>
      <c r="B31" s="55" t="s">
        <v>93</v>
      </c>
      <c r="C31" s="188" t="s">
        <v>470</v>
      </c>
      <c r="D31" s="200">
        <v>2023</v>
      </c>
      <c r="E31" s="54" t="s">
        <v>348</v>
      </c>
      <c r="F31" s="70"/>
    </row>
    <row r="32" spans="1:6" ht="37.5" customHeight="1" x14ac:dyDescent="0.3">
      <c r="A32" s="534"/>
      <c r="B32" s="55" t="s">
        <v>96</v>
      </c>
      <c r="C32" s="188" t="s">
        <v>347</v>
      </c>
      <c r="D32" s="200">
        <v>2023</v>
      </c>
      <c r="E32" s="54" t="s">
        <v>613</v>
      </c>
      <c r="F32" s="70" t="s">
        <v>614</v>
      </c>
    </row>
    <row r="33" spans="1:6" ht="43.5" customHeight="1" x14ac:dyDescent="0.3">
      <c r="A33" s="529" t="s">
        <v>85</v>
      </c>
      <c r="B33" s="55" t="s">
        <v>98</v>
      </c>
      <c r="C33" s="188" t="s">
        <v>471</v>
      </c>
      <c r="D33" s="202">
        <v>45322</v>
      </c>
      <c r="E33" s="54" t="s">
        <v>348</v>
      </c>
      <c r="F33" s="70"/>
    </row>
    <row r="34" spans="1:6" ht="33" x14ac:dyDescent="0.3">
      <c r="A34" s="529"/>
      <c r="B34" s="55" t="s">
        <v>86</v>
      </c>
      <c r="C34" s="188" t="s">
        <v>473</v>
      </c>
      <c r="D34" s="202">
        <v>45323</v>
      </c>
      <c r="E34" s="54" t="s">
        <v>348</v>
      </c>
      <c r="F34" s="70"/>
    </row>
    <row r="35" spans="1:6" ht="43.5" customHeight="1" x14ac:dyDescent="0.3">
      <c r="A35" s="529"/>
      <c r="B35" s="55" t="s">
        <v>87</v>
      </c>
      <c r="C35" s="188" t="s">
        <v>472</v>
      </c>
      <c r="D35" s="202">
        <v>45323</v>
      </c>
      <c r="E35" s="54" t="s">
        <v>348</v>
      </c>
      <c r="F35" s="70"/>
    </row>
    <row r="36" spans="1:6" ht="43.5" customHeight="1" x14ac:dyDescent="0.3">
      <c r="A36" s="529"/>
      <c r="B36" s="55" t="s">
        <v>94</v>
      </c>
      <c r="C36" s="188" t="s">
        <v>347</v>
      </c>
      <c r="D36" s="200"/>
      <c r="E36" s="54"/>
      <c r="F36" s="70"/>
    </row>
    <row r="37" spans="1:6" ht="43.5" customHeight="1" x14ac:dyDescent="0.3">
      <c r="A37" s="529"/>
      <c r="B37" s="55" t="s">
        <v>97</v>
      </c>
      <c r="C37" s="188"/>
      <c r="D37" s="200">
        <v>2023</v>
      </c>
      <c r="E37" s="54" t="s">
        <v>613</v>
      </c>
      <c r="F37" s="70"/>
    </row>
    <row r="38" spans="1:6" ht="33" x14ac:dyDescent="0.3">
      <c r="A38" s="529"/>
      <c r="B38" s="55" t="s">
        <v>124</v>
      </c>
      <c r="C38" s="188" t="s">
        <v>474</v>
      </c>
      <c r="D38" s="200">
        <v>2023</v>
      </c>
      <c r="E38" s="54" t="s">
        <v>348</v>
      </c>
      <c r="F38" s="70"/>
    </row>
    <row r="39" spans="1:6" ht="33.75" thickBot="1" x14ac:dyDescent="0.35">
      <c r="A39" s="530"/>
      <c r="B39" s="71" t="s">
        <v>125</v>
      </c>
      <c r="C39" s="295" t="s">
        <v>475</v>
      </c>
      <c r="D39" s="437">
        <v>2018</v>
      </c>
      <c r="E39" s="189" t="s">
        <v>348</v>
      </c>
      <c r="F39" s="72" t="s">
        <v>615</v>
      </c>
    </row>
    <row r="40" spans="1:6" ht="16.5" x14ac:dyDescent="0.3">
      <c r="A40" s="159"/>
      <c r="B40" s="159"/>
      <c r="C40" s="159"/>
      <c r="D40" s="198"/>
      <c r="E40" s="159"/>
      <c r="F40" s="159"/>
    </row>
    <row r="41" spans="1:6" ht="16.5" x14ac:dyDescent="0.3">
      <c r="A41" s="159"/>
      <c r="B41" s="159"/>
      <c r="C41" s="159"/>
      <c r="D41" s="198"/>
      <c r="E41" s="159"/>
      <c r="F41" s="159"/>
    </row>
    <row r="42" spans="1:6" ht="16.5" x14ac:dyDescent="0.3">
      <c r="A42" s="90"/>
      <c r="B42" s="90"/>
      <c r="C42" s="90"/>
      <c r="D42" s="199"/>
      <c r="E42" s="90"/>
      <c r="F42" s="90"/>
    </row>
    <row r="43" spans="1:6" ht="16.5" x14ac:dyDescent="0.3">
      <c r="A43" s="90"/>
      <c r="B43" s="90"/>
      <c r="C43" s="90"/>
      <c r="D43" s="199"/>
      <c r="E43" s="90"/>
      <c r="F43" s="90"/>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dataValidation allowBlank="1" showInputMessage="1" showErrorMessage="1" prompt="Registre la fecha de vigencia del soporte relacionado. Cuando sean distintos documentos y fechas en el ítem como procesos. relacione donde se encuentra el registro de actualziaciones." sqref="D5"/>
    <dataValidation allowBlank="1" showInputMessage="1" showErrorMessage="1" prompt="Registre SI, si tiene acceso al documento, NO cuando exista alguna limitación en su acceso, indicando en las Notas del equipo Auditor la observación._x000a_" sqref="E5"/>
    <dataValidation allowBlank="1" showInputMessage="1" showErrorMessage="1" prompt="Registre notas de relevancia de orientación sobre la información. Ej: Version desactualizada, No se presentó auditoría regular en la última vigencia, etc." sqref="F5"/>
  </dataValidations>
  <hyperlinks>
    <hyperlink ref="C6" r:id="rId1"/>
    <hyperlink ref="C13" r:id="rId2"/>
    <hyperlink ref="C17" r:id="rId3"/>
    <hyperlink ref="C22" r:id="rId4"/>
  </hyperlinks>
  <pageMargins left="0.7" right="0.7" top="0.75" bottom="0.75" header="0.3" footer="0.3"/>
  <pageSetup orientation="portrait" horizontalDpi="4294967292" verticalDpi="0" r:id="rId5"/>
  <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00"/>
  <sheetViews>
    <sheetView topLeftCell="A6" zoomScale="70" zoomScaleNormal="70" workbookViewId="0">
      <selection activeCell="O29" sqref="O29"/>
    </sheetView>
  </sheetViews>
  <sheetFormatPr baseColWidth="10" defaultColWidth="14.42578125" defaultRowHeight="15" customHeight="1" x14ac:dyDescent="0.3"/>
  <cols>
    <col min="1" max="1" width="4.5703125" style="165" customWidth="1"/>
    <col min="2" max="2" width="48.7109375" style="165" customWidth="1"/>
    <col min="3" max="7" width="10.7109375" style="165" customWidth="1"/>
    <col min="8" max="8" width="11.5703125" style="165" customWidth="1"/>
    <col min="9" max="9" width="14.140625" style="165" customWidth="1"/>
    <col min="10" max="10" width="22" style="165" customWidth="1"/>
    <col min="11" max="12" width="9.7109375" style="165" bestFit="1" customWidth="1"/>
    <col min="13" max="13" width="13" style="165" customWidth="1"/>
    <col min="14" max="14" width="10.85546875" style="165" customWidth="1"/>
    <col min="15" max="16" width="10.7109375" style="165" customWidth="1"/>
    <col min="17" max="17" width="16.28515625" style="165" customWidth="1"/>
    <col min="18" max="18" width="16.140625" style="165" customWidth="1"/>
    <col min="19" max="19" width="10.7109375" style="165" customWidth="1"/>
    <col min="20" max="21" width="32.140625" style="165" customWidth="1"/>
    <col min="22" max="24" width="14.42578125" style="165"/>
    <col min="25" max="25" width="39" style="165" customWidth="1"/>
    <col min="26" max="16384" width="14.42578125" style="165"/>
  </cols>
  <sheetData>
    <row r="1" spans="2:28" ht="15" customHeight="1" thickBot="1" x14ac:dyDescent="0.35"/>
    <row r="2" spans="2:28" ht="16.5" x14ac:dyDescent="0.3">
      <c r="B2" s="537"/>
      <c r="C2" s="540" t="s">
        <v>330</v>
      </c>
      <c r="D2" s="541"/>
      <c r="E2" s="541"/>
      <c r="F2" s="541"/>
      <c r="G2" s="541"/>
      <c r="H2" s="541"/>
      <c r="I2" s="541"/>
      <c r="J2" s="541"/>
      <c r="K2" s="541"/>
      <c r="L2" s="541"/>
      <c r="M2" s="541"/>
      <c r="N2" s="541"/>
      <c r="O2" s="541"/>
      <c r="P2" s="541"/>
      <c r="Q2" s="542"/>
      <c r="R2" s="549"/>
      <c r="S2" s="550"/>
      <c r="T2" s="551"/>
    </row>
    <row r="3" spans="2:28" ht="16.5" x14ac:dyDescent="0.3">
      <c r="B3" s="538"/>
      <c r="C3" s="543"/>
      <c r="D3" s="544"/>
      <c r="E3" s="544"/>
      <c r="F3" s="544"/>
      <c r="G3" s="544"/>
      <c r="H3" s="544"/>
      <c r="I3" s="544"/>
      <c r="J3" s="544"/>
      <c r="K3" s="544"/>
      <c r="L3" s="544"/>
      <c r="M3" s="544"/>
      <c r="N3" s="544"/>
      <c r="O3" s="544"/>
      <c r="P3" s="544"/>
      <c r="Q3" s="545"/>
      <c r="R3" s="554"/>
      <c r="S3" s="555"/>
      <c r="T3" s="552"/>
    </row>
    <row r="4" spans="2:28" ht="16.5" x14ac:dyDescent="0.3">
      <c r="B4" s="538"/>
      <c r="C4" s="543"/>
      <c r="D4" s="544"/>
      <c r="E4" s="544"/>
      <c r="F4" s="544"/>
      <c r="G4" s="544"/>
      <c r="H4" s="544"/>
      <c r="I4" s="544"/>
      <c r="J4" s="544"/>
      <c r="K4" s="544"/>
      <c r="L4" s="544"/>
      <c r="M4" s="544"/>
      <c r="N4" s="544"/>
      <c r="O4" s="544"/>
      <c r="P4" s="544"/>
      <c r="Q4" s="545"/>
      <c r="R4" s="554"/>
      <c r="S4" s="555"/>
      <c r="T4" s="552"/>
    </row>
    <row r="5" spans="2:28" ht="17.25" thickBot="1" x14ac:dyDescent="0.35">
      <c r="B5" s="539"/>
      <c r="C5" s="543"/>
      <c r="D5" s="546"/>
      <c r="E5" s="547"/>
      <c r="F5" s="547"/>
      <c r="G5" s="547"/>
      <c r="H5" s="547"/>
      <c r="I5" s="547"/>
      <c r="J5" s="547"/>
      <c r="K5" s="547"/>
      <c r="L5" s="547"/>
      <c r="M5" s="547"/>
      <c r="N5" s="547"/>
      <c r="O5" s="547"/>
      <c r="P5" s="547"/>
      <c r="Q5" s="548"/>
      <c r="R5" s="556"/>
      <c r="S5" s="557"/>
      <c r="T5" s="553"/>
    </row>
    <row r="6" spans="2:28" ht="17.25" thickBot="1" x14ac:dyDescent="0.35">
      <c r="B6" s="225" t="s">
        <v>11</v>
      </c>
      <c r="C6" s="535">
        <v>45657</v>
      </c>
      <c r="D6" s="536"/>
    </row>
    <row r="7" spans="2:28" ht="15" customHeight="1" thickBot="1" x14ac:dyDescent="0.35"/>
    <row r="8" spans="2:28" ht="17.25" thickBot="1" x14ac:dyDescent="0.35">
      <c r="B8" s="166">
        <v>1</v>
      </c>
      <c r="C8" s="571">
        <v>2</v>
      </c>
      <c r="D8" s="572"/>
      <c r="E8" s="572"/>
      <c r="F8" s="572"/>
      <c r="G8" s="572"/>
      <c r="H8" s="572"/>
      <c r="I8" s="572"/>
      <c r="J8" s="573"/>
      <c r="K8" s="178"/>
      <c r="L8" s="178"/>
      <c r="M8" s="577">
        <v>3</v>
      </c>
      <c r="N8" s="578"/>
      <c r="O8" s="577">
        <v>4</v>
      </c>
      <c r="P8" s="578"/>
      <c r="Q8" s="577">
        <v>5</v>
      </c>
      <c r="R8" s="579"/>
      <c r="S8" s="579"/>
      <c r="T8" s="569">
        <v>6</v>
      </c>
      <c r="U8" s="570"/>
    </row>
    <row r="9" spans="2:28" ht="47.25" customHeight="1" thickBot="1" x14ac:dyDescent="0.35">
      <c r="B9" s="558" t="s">
        <v>329</v>
      </c>
      <c r="C9" s="560" t="s">
        <v>0</v>
      </c>
      <c r="D9" s="547"/>
      <c r="E9" s="547"/>
      <c r="F9" s="547"/>
      <c r="G9" s="547"/>
      <c r="H9" s="561" t="s">
        <v>6</v>
      </c>
      <c r="I9" s="546"/>
      <c r="J9" s="565" t="s">
        <v>277</v>
      </c>
      <c r="K9" s="574"/>
      <c r="L9" s="566"/>
      <c r="M9" s="563" t="s">
        <v>7</v>
      </c>
      <c r="N9" s="564"/>
      <c r="O9" s="561" t="s">
        <v>8</v>
      </c>
      <c r="P9" s="564"/>
      <c r="Q9" s="580" t="s">
        <v>9</v>
      </c>
      <c r="R9" s="580" t="s">
        <v>10</v>
      </c>
      <c r="S9" s="561" t="s">
        <v>13</v>
      </c>
      <c r="T9" s="565" t="s">
        <v>14</v>
      </c>
      <c r="U9" s="566"/>
    </row>
    <row r="10" spans="2:28" ht="47.25" customHeight="1" thickBot="1" x14ac:dyDescent="0.35">
      <c r="B10" s="559"/>
      <c r="C10" s="211" t="s">
        <v>1</v>
      </c>
      <c r="D10" s="212" t="s">
        <v>2</v>
      </c>
      <c r="E10" s="213" t="s">
        <v>3</v>
      </c>
      <c r="F10" s="214" t="s">
        <v>4</v>
      </c>
      <c r="G10" s="215" t="s">
        <v>5</v>
      </c>
      <c r="H10" s="562"/>
      <c r="I10" s="546"/>
      <c r="J10" s="575"/>
      <c r="K10" s="563"/>
      <c r="L10" s="576"/>
      <c r="M10" s="546"/>
      <c r="N10" s="564"/>
      <c r="O10" s="562"/>
      <c r="P10" s="564"/>
      <c r="Q10" s="559"/>
      <c r="R10" s="559"/>
      <c r="S10" s="562"/>
      <c r="T10" s="567"/>
      <c r="U10" s="568"/>
    </row>
    <row r="11" spans="2:28" ht="51.75" customHeight="1" thickBot="1" x14ac:dyDescent="0.35">
      <c r="B11" s="253" t="str">
        <f>+'PAA OCI  '!B19</f>
        <v>Seguimiento a SARLAFT</v>
      </c>
      <c r="C11" s="216">
        <f>+'ANALISIS OCI'!X9</f>
        <v>1</v>
      </c>
      <c r="D11" s="217">
        <f>+'ANALISIS OCI'!Y9</f>
        <v>1</v>
      </c>
      <c r="E11" s="217">
        <f>+'ANALISIS OCI'!Z9</f>
        <v>1</v>
      </c>
      <c r="F11" s="217">
        <f>+'ANALISIS OCI'!AA9</f>
        <v>1</v>
      </c>
      <c r="G11" s="218">
        <f>SUM(C11:F11)</f>
        <v>4</v>
      </c>
      <c r="H11" s="206" t="str">
        <f>IF(G11=0,0,IF(($C11/$G11)&gt;=0.2,"Extremo",+IF((($C11/G11)+($D11/$G11))&gt;=0.3,"Alto",+IF((($C11/$G11)+($D11/$G11)+($E11/$G11))&gt;=0.4,"Moderado",+IF(($C11/$G11)+($D11/$G11)+($E11/$G11)+($F11/$G11)&gt;=0.5,"Bajo",IF(G11=0,0))))))</f>
        <v>Extremo</v>
      </c>
      <c r="I11" s="207">
        <f t="shared" ref="I11:I28" si="0">(IF(H11="Extremo",50%,(IF(H11="Alto",40%,IF(H11="Moderado",15%,IF(H11="Bajo",10%,0))))))</f>
        <v>0.5</v>
      </c>
      <c r="J11" s="203" t="str">
        <f>'ANALISIS OCI'!AC9</f>
        <v>Extremo</v>
      </c>
      <c r="K11" s="204">
        <f>(IF(J11="Extremo",50%,(IF(J11="Alto",40%,IF(J11="Moderado",15%,IF(J11="Bajo",10%,0))))))</f>
        <v>0.5</v>
      </c>
      <c r="L11" s="205">
        <f>IF(I11=0,K11,I11)</f>
        <v>0.5</v>
      </c>
      <c r="M11" s="219" t="s">
        <v>12</v>
      </c>
      <c r="N11" s="220">
        <f t="shared" ref="N11:N28" si="1">IF(M11="Si",100%,IF(M11="No",0,0))</f>
        <v>0</v>
      </c>
      <c r="O11" s="221" t="s">
        <v>348</v>
      </c>
      <c r="P11" s="222">
        <f t="shared" ref="P11:P28" si="2">IF(O11="Si",20%,IF(O11="No",0,0))</f>
        <v>0.2</v>
      </c>
      <c r="Q11" s="208"/>
      <c r="R11" s="209">
        <f>+$C$6-Q11</f>
        <v>45657</v>
      </c>
      <c r="S11" s="223">
        <f t="shared" ref="S11:S47" si="3">IF(R11&gt;=1080,30%,IF(R11&gt;=720,20%,IF(R11&gt;=360,10%,IF(R11&lt;=359,0%,0))))</f>
        <v>0.3</v>
      </c>
      <c r="T11" s="210">
        <f>IF(N11=100%,100%,(L11+P11+S11))</f>
        <v>1</v>
      </c>
      <c r="U11" s="179" t="str">
        <f>+IF(T11&gt;=85%,$AB$12,IF(AND( T11&gt;65%,T11&lt;85%),$AB$13,$AB$14))</f>
        <v xml:space="preserve">Incluir en el ciclo de auditorías de la vigencia </v>
      </c>
    </row>
    <row r="12" spans="2:28" ht="39" customHeight="1" thickBot="1" x14ac:dyDescent="0.35">
      <c r="B12" s="253" t="str">
        <f>+'PAA OCI  '!B20</f>
        <v>Revisión de Polizas de Seguro Corporativa</v>
      </c>
      <c r="C12" s="216">
        <f>+'ANALISIS OCI'!X10</f>
        <v>1</v>
      </c>
      <c r="D12" s="217">
        <f>+'ANALISIS OCI'!Y10</f>
        <v>1</v>
      </c>
      <c r="E12" s="217">
        <f>+'ANALISIS OCI'!Z10</f>
        <v>1</v>
      </c>
      <c r="F12" s="217">
        <f>+'ANALISIS OCI'!AA10</f>
        <v>2</v>
      </c>
      <c r="G12" s="218">
        <f t="shared" ref="G12:G28" si="4">SUM(C12:F12)</f>
        <v>5</v>
      </c>
      <c r="H12" s="206" t="str">
        <f t="shared" ref="H12:H28" si="5">IF(G12=0,0,IF(($C12/$G12)&gt;=0.2,"Extremo",+IF((($C12/G12)+($D12/$G12))&gt;=0.3,"Alto",+IF((($C12/$G12)+($D12/$G12)+($E12/$G12))&gt;=0.4,"Moderado",+IF(($C12/$G12)+($D12/$G12)+($E12/$G12)+($F12/$G12)&gt;=0.5,"Bajo",IF(G12=0,0))))))</f>
        <v>Extremo</v>
      </c>
      <c r="I12" s="207">
        <f t="shared" si="0"/>
        <v>0.5</v>
      </c>
      <c r="J12" s="203" t="str">
        <f>'ANALISIS OCI'!AC10</f>
        <v>Extremo</v>
      </c>
      <c r="K12" s="204">
        <f>(IF(J12="Extremo",50%,(IF(J12="Alto",40%,IF(J12="Moderado",15%,IF(J12="Bajo",10%,0))))))</f>
        <v>0.5</v>
      </c>
      <c r="L12" s="205">
        <f t="shared" ref="L12:L77" si="6">IF(I12=0,K12,I12)</f>
        <v>0.5</v>
      </c>
      <c r="M12" s="219" t="s">
        <v>12</v>
      </c>
      <c r="N12" s="220">
        <f t="shared" si="1"/>
        <v>0</v>
      </c>
      <c r="O12" s="221" t="s">
        <v>12</v>
      </c>
      <c r="P12" s="222">
        <f t="shared" si="2"/>
        <v>0</v>
      </c>
      <c r="Q12" s="208"/>
      <c r="R12" s="209">
        <f>+$C$6-Q12</f>
        <v>45657</v>
      </c>
      <c r="S12" s="223">
        <f t="shared" si="3"/>
        <v>0.3</v>
      </c>
      <c r="T12" s="194">
        <f t="shared" ref="T12:T47" si="7">IF(N12=100%,100%,(L12+P12+S12))</f>
        <v>0.8</v>
      </c>
      <c r="U12" s="179" t="str">
        <f t="shared" ref="U12:U77" si="8">+IF(T12&gt;=85%,$AB$12,IF(AND( T12&gt;65%,T12&lt;85%),$AB$13,$AB$14))</f>
        <v xml:space="preserve">Incluir en el ciclo vigente de acuerdo a disponibilidad de recursos </v>
      </c>
      <c r="AB12" s="165" t="s">
        <v>289</v>
      </c>
    </row>
    <row r="13" spans="2:28" ht="39.75" customHeight="1" thickBot="1" x14ac:dyDescent="0.35">
      <c r="B13" s="253" t="str">
        <f>+'PAA OCI  '!B21</f>
        <v>Seguimiento a actos administrativos Internos</v>
      </c>
      <c r="C13" s="216">
        <f>+'ANALISIS OCI'!X11</f>
        <v>0</v>
      </c>
      <c r="D13" s="217">
        <f>+'ANALISIS OCI'!Y11</f>
        <v>0</v>
      </c>
      <c r="E13" s="217">
        <f>+'ANALISIS OCI'!Z11</f>
        <v>1</v>
      </c>
      <c r="F13" s="217">
        <f>+'ANALISIS OCI'!AA11</f>
        <v>3</v>
      </c>
      <c r="G13" s="218">
        <f t="shared" si="4"/>
        <v>4</v>
      </c>
      <c r="H13" s="206" t="str">
        <f t="shared" si="5"/>
        <v>Bajo</v>
      </c>
      <c r="I13" s="207">
        <f t="shared" si="0"/>
        <v>0.1</v>
      </c>
      <c r="J13" s="203" t="str">
        <f>'ANALISIS OCI'!AC11</f>
        <v>Bajo</v>
      </c>
      <c r="K13" s="204">
        <f t="shared" ref="K13:K78" si="9">(IF(J13="Extremo",50%,(IF(J13="Alto",40%,IF(J13="Moderado",15%,IF(J13="Bajo",10%,0))))))</f>
        <v>0.1</v>
      </c>
      <c r="L13" s="205">
        <f t="shared" si="6"/>
        <v>0.1</v>
      </c>
      <c r="M13" s="219" t="s">
        <v>12</v>
      </c>
      <c r="N13" s="220">
        <f t="shared" si="1"/>
        <v>0</v>
      </c>
      <c r="O13" s="221" t="s">
        <v>12</v>
      </c>
      <c r="P13" s="222">
        <f t="shared" si="2"/>
        <v>0</v>
      </c>
      <c r="Q13" s="208"/>
      <c r="R13" s="209">
        <f t="shared" ref="R13:R28" si="10">+$C$6-Q13</f>
        <v>45657</v>
      </c>
      <c r="S13" s="223">
        <f t="shared" si="3"/>
        <v>0.3</v>
      </c>
      <c r="T13" s="194">
        <f t="shared" si="7"/>
        <v>0.4</v>
      </c>
      <c r="U13" s="179" t="str">
        <f t="shared" si="8"/>
        <v>Incluir en ciclos posteriores de auditoría</v>
      </c>
      <c r="AB13" s="165" t="s">
        <v>290</v>
      </c>
    </row>
    <row r="14" spans="2:28" ht="51.75" customHeight="1" thickBot="1" x14ac:dyDescent="0.35">
      <c r="B14" s="253" t="str">
        <f>+'PAA OCI  '!B22</f>
        <v>Plan Institucional de Archivos de la Entidad PINAR - Plan Estratégico de Talento Humano - Plan de Trabajo Anual en Seguridad y Salud en el Trabajo - Sistema de Gestión de Seguridad y Salud en el Trabajo</v>
      </c>
      <c r="C14" s="216">
        <f>+'ANALISIS OCI'!X12</f>
        <v>0</v>
      </c>
      <c r="D14" s="217">
        <f>+'ANALISIS OCI'!Y12</f>
        <v>0</v>
      </c>
      <c r="E14" s="217">
        <f>+'ANALISIS OCI'!Z12</f>
        <v>2</v>
      </c>
      <c r="F14" s="217">
        <f>+'ANALISIS OCI'!AA12</f>
        <v>3</v>
      </c>
      <c r="G14" s="218">
        <f t="shared" si="4"/>
        <v>5</v>
      </c>
      <c r="H14" s="206" t="str">
        <f t="shared" si="5"/>
        <v>Moderado</v>
      </c>
      <c r="I14" s="207">
        <f t="shared" si="0"/>
        <v>0.15</v>
      </c>
      <c r="J14" s="203" t="str">
        <f>'ANALISIS OCI'!AC12</f>
        <v>Moderado</v>
      </c>
      <c r="K14" s="204">
        <f t="shared" si="9"/>
        <v>0.15</v>
      </c>
      <c r="L14" s="205">
        <f t="shared" si="6"/>
        <v>0.15</v>
      </c>
      <c r="M14" s="219" t="s">
        <v>12</v>
      </c>
      <c r="N14" s="220">
        <f t="shared" si="1"/>
        <v>0</v>
      </c>
      <c r="O14" s="221" t="s">
        <v>12</v>
      </c>
      <c r="P14" s="222">
        <f t="shared" si="2"/>
        <v>0</v>
      </c>
      <c r="Q14" s="208"/>
      <c r="R14" s="209">
        <f t="shared" si="10"/>
        <v>45657</v>
      </c>
      <c r="S14" s="223">
        <f t="shared" si="3"/>
        <v>0.3</v>
      </c>
      <c r="T14" s="194">
        <f t="shared" si="7"/>
        <v>0.44999999999999996</v>
      </c>
      <c r="U14" s="179" t="str">
        <f t="shared" si="8"/>
        <v>Incluir en ciclos posteriores de auditoría</v>
      </c>
      <c r="AB14" s="165" t="s">
        <v>288</v>
      </c>
    </row>
    <row r="15" spans="2:28" ht="49.5" customHeight="1" thickBot="1" x14ac:dyDescent="0.35">
      <c r="B15" s="253" t="str">
        <f>+'PAA OCI  '!B23</f>
        <v>Plan Estratégico de Tecnologías de la Información y las Comunicaciones ­ PETI - Plan de Tratamiento de Riesgos de Seguridad y Privacidad de la Información - Plan de Seguridad y Privacidad de la Información</v>
      </c>
      <c r="C15" s="216">
        <f>+'ANALISIS OCI'!X13</f>
        <v>0</v>
      </c>
      <c r="D15" s="217">
        <f>+'ANALISIS OCI'!Y13</f>
        <v>0</v>
      </c>
      <c r="E15" s="217">
        <f>+'ANALISIS OCI'!Z13</f>
        <v>2</v>
      </c>
      <c r="F15" s="217">
        <f>+'ANALISIS OCI'!AA13</f>
        <v>3</v>
      </c>
      <c r="G15" s="218">
        <f t="shared" si="4"/>
        <v>5</v>
      </c>
      <c r="H15" s="206" t="str">
        <f t="shared" si="5"/>
        <v>Moderado</v>
      </c>
      <c r="I15" s="207">
        <f t="shared" si="0"/>
        <v>0.15</v>
      </c>
      <c r="J15" s="203" t="str">
        <f>'ANALISIS OCI'!AC13</f>
        <v>Moderado</v>
      </c>
      <c r="K15" s="204">
        <f t="shared" si="9"/>
        <v>0.15</v>
      </c>
      <c r="L15" s="205">
        <f t="shared" si="6"/>
        <v>0.15</v>
      </c>
      <c r="M15" s="219" t="s">
        <v>12</v>
      </c>
      <c r="N15" s="220">
        <f t="shared" si="1"/>
        <v>0</v>
      </c>
      <c r="O15" s="221" t="s">
        <v>12</v>
      </c>
      <c r="P15" s="222">
        <f t="shared" si="2"/>
        <v>0</v>
      </c>
      <c r="Q15" s="208"/>
      <c r="R15" s="209">
        <f t="shared" si="10"/>
        <v>45657</v>
      </c>
      <c r="S15" s="223">
        <f t="shared" si="3"/>
        <v>0.3</v>
      </c>
      <c r="T15" s="194">
        <f t="shared" si="7"/>
        <v>0.44999999999999996</v>
      </c>
      <c r="U15" s="179" t="str">
        <f t="shared" si="8"/>
        <v>Incluir en ciclos posteriores de auditoría</v>
      </c>
    </row>
    <row r="16" spans="2:28" ht="132.75" thickBot="1" x14ac:dyDescent="0.35">
      <c r="B16" s="253" t="str">
        <f>+'PAA OCI  '!B24</f>
        <v>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v>
      </c>
      <c r="C16" s="216">
        <f>+'ANALISIS OCI'!X14</f>
        <v>0</v>
      </c>
      <c r="D16" s="217">
        <f>+'ANALISIS OCI'!Y14</f>
        <v>0</v>
      </c>
      <c r="E16" s="217">
        <f>+'ANALISIS OCI'!Z14</f>
        <v>2</v>
      </c>
      <c r="F16" s="217">
        <f>+'ANALISIS OCI'!AA14</f>
        <v>3</v>
      </c>
      <c r="G16" s="218">
        <f t="shared" si="4"/>
        <v>5</v>
      </c>
      <c r="H16" s="206" t="str">
        <f t="shared" si="5"/>
        <v>Moderado</v>
      </c>
      <c r="I16" s="207">
        <f t="shared" si="0"/>
        <v>0.15</v>
      </c>
      <c r="J16" s="203" t="str">
        <f>'ANALISIS OCI'!AC14</f>
        <v>Moderado</v>
      </c>
      <c r="K16" s="204">
        <f t="shared" si="9"/>
        <v>0.15</v>
      </c>
      <c r="L16" s="205">
        <f t="shared" si="6"/>
        <v>0.15</v>
      </c>
      <c r="M16" s="219" t="s">
        <v>12</v>
      </c>
      <c r="N16" s="220">
        <f t="shared" si="1"/>
        <v>0</v>
      </c>
      <c r="O16" s="221" t="s">
        <v>12</v>
      </c>
      <c r="P16" s="222">
        <f t="shared" si="2"/>
        <v>0</v>
      </c>
      <c r="Q16" s="208"/>
      <c r="R16" s="209">
        <f t="shared" si="10"/>
        <v>45657</v>
      </c>
      <c r="S16" s="223">
        <f t="shared" si="3"/>
        <v>0.3</v>
      </c>
      <c r="T16" s="194">
        <f t="shared" si="7"/>
        <v>0.44999999999999996</v>
      </c>
      <c r="U16" s="179" t="str">
        <f t="shared" si="8"/>
        <v>Incluir en ciclos posteriores de auditoría</v>
      </c>
    </row>
    <row r="17" spans="2:21" ht="43.5" customHeight="1" thickBot="1" x14ac:dyDescent="0.35">
      <c r="B17" s="253" t="str">
        <f>+'PAA OCI  '!B25</f>
        <v>Seguimiento adjudicación San Victorino</v>
      </c>
      <c r="C17" s="216">
        <f>+'ANALISIS OCI'!X15</f>
        <v>4</v>
      </c>
      <c r="D17" s="217">
        <f>+'ANALISIS OCI'!Y15</f>
        <v>0</v>
      </c>
      <c r="E17" s="217">
        <f>+'ANALISIS OCI'!Z15</f>
        <v>0</v>
      </c>
      <c r="F17" s="217">
        <f>+'ANALISIS OCI'!AA15</f>
        <v>1</v>
      </c>
      <c r="G17" s="218">
        <f t="shared" si="4"/>
        <v>5</v>
      </c>
      <c r="H17" s="206" t="str">
        <f t="shared" si="5"/>
        <v>Extremo</v>
      </c>
      <c r="I17" s="207">
        <f t="shared" si="0"/>
        <v>0.5</v>
      </c>
      <c r="J17" s="203" t="str">
        <f>'ANALISIS OCI'!AC15</f>
        <v>Extremo</v>
      </c>
      <c r="K17" s="204">
        <f t="shared" si="9"/>
        <v>0.5</v>
      </c>
      <c r="L17" s="205">
        <f t="shared" si="6"/>
        <v>0.5</v>
      </c>
      <c r="M17" s="219" t="s">
        <v>12</v>
      </c>
      <c r="N17" s="220">
        <f t="shared" si="1"/>
        <v>0</v>
      </c>
      <c r="O17" s="221" t="s">
        <v>12</v>
      </c>
      <c r="P17" s="222">
        <f t="shared" si="2"/>
        <v>0</v>
      </c>
      <c r="Q17" s="208"/>
      <c r="R17" s="209">
        <f t="shared" si="10"/>
        <v>45657</v>
      </c>
      <c r="S17" s="223">
        <f t="shared" si="3"/>
        <v>0.3</v>
      </c>
      <c r="T17" s="194">
        <f t="shared" si="7"/>
        <v>0.8</v>
      </c>
      <c r="U17" s="179" t="str">
        <f t="shared" si="8"/>
        <v xml:space="preserve">Incluir en el ciclo vigente de acuerdo a disponibilidad de recursos </v>
      </c>
    </row>
    <row r="18" spans="2:21" ht="54" customHeight="1" thickBot="1" x14ac:dyDescent="0.35">
      <c r="B18" s="253" t="str">
        <f>+'PAA OCI  '!B26</f>
        <v>Seguimiento estado Obra Alcaldia Mártires</v>
      </c>
      <c r="C18" s="216">
        <f>+'ANALISIS OCI'!X16</f>
        <v>4</v>
      </c>
      <c r="D18" s="217">
        <f>+'ANALISIS OCI'!Y16</f>
        <v>0</v>
      </c>
      <c r="E18" s="217">
        <f>+'ANALISIS OCI'!Z16</f>
        <v>0</v>
      </c>
      <c r="F18" s="217">
        <f>+'ANALISIS OCI'!AA16</f>
        <v>1</v>
      </c>
      <c r="G18" s="218">
        <f t="shared" si="4"/>
        <v>5</v>
      </c>
      <c r="H18" s="206" t="str">
        <f t="shared" si="5"/>
        <v>Extremo</v>
      </c>
      <c r="I18" s="207">
        <f t="shared" si="0"/>
        <v>0.5</v>
      </c>
      <c r="J18" s="203" t="str">
        <f>'ANALISIS OCI'!AC16</f>
        <v>Extremo</v>
      </c>
      <c r="K18" s="204">
        <f t="shared" si="9"/>
        <v>0.5</v>
      </c>
      <c r="L18" s="205">
        <f t="shared" si="6"/>
        <v>0.5</v>
      </c>
      <c r="M18" s="219" t="s">
        <v>12</v>
      </c>
      <c r="N18" s="220">
        <f t="shared" si="1"/>
        <v>0</v>
      </c>
      <c r="O18" s="221" t="s">
        <v>12</v>
      </c>
      <c r="P18" s="222">
        <f t="shared" si="2"/>
        <v>0</v>
      </c>
      <c r="Q18" s="208"/>
      <c r="R18" s="209">
        <f t="shared" si="10"/>
        <v>45657</v>
      </c>
      <c r="S18" s="223">
        <f t="shared" si="3"/>
        <v>0.3</v>
      </c>
      <c r="T18" s="194">
        <f t="shared" si="7"/>
        <v>0.8</v>
      </c>
      <c r="U18" s="179" t="str">
        <f t="shared" si="8"/>
        <v xml:space="preserve">Incluir en el ciclo vigente de acuerdo a disponibilidad de recursos </v>
      </c>
    </row>
    <row r="19" spans="2:21" ht="43.5" customHeight="1" thickBot="1" x14ac:dyDescent="0.35">
      <c r="B19" s="253" t="str">
        <f>+'PAA OCI  '!B27</f>
        <v>Seguimiento rol Empresa Ciudadela del Cuidado</v>
      </c>
      <c r="C19" s="216">
        <f>+'ANALISIS OCI'!X17</f>
        <v>4</v>
      </c>
      <c r="D19" s="217">
        <f>+'ANALISIS OCI'!Y17</f>
        <v>0</v>
      </c>
      <c r="E19" s="217">
        <f>+'ANALISIS OCI'!Z17</f>
        <v>0</v>
      </c>
      <c r="F19" s="217">
        <f>+'ANALISIS OCI'!AA17</f>
        <v>1</v>
      </c>
      <c r="G19" s="218">
        <f t="shared" si="4"/>
        <v>5</v>
      </c>
      <c r="H19" s="206" t="str">
        <f t="shared" si="5"/>
        <v>Extremo</v>
      </c>
      <c r="I19" s="207">
        <f t="shared" si="0"/>
        <v>0.5</v>
      </c>
      <c r="J19" s="203" t="str">
        <f>'ANALISIS OCI'!AC17</f>
        <v>Extremo</v>
      </c>
      <c r="K19" s="204">
        <f t="shared" si="9"/>
        <v>0.5</v>
      </c>
      <c r="L19" s="205">
        <f t="shared" si="6"/>
        <v>0.5</v>
      </c>
      <c r="M19" s="219"/>
      <c r="N19" s="220">
        <f t="shared" si="1"/>
        <v>0</v>
      </c>
      <c r="O19" s="221"/>
      <c r="P19" s="222">
        <f t="shared" si="2"/>
        <v>0</v>
      </c>
      <c r="Q19" s="208"/>
      <c r="R19" s="209">
        <f t="shared" si="10"/>
        <v>45657</v>
      </c>
      <c r="S19" s="223">
        <f t="shared" si="3"/>
        <v>0.3</v>
      </c>
      <c r="T19" s="194">
        <f t="shared" si="7"/>
        <v>0.8</v>
      </c>
      <c r="U19" s="179" t="str">
        <f t="shared" si="8"/>
        <v xml:space="preserve">Incluir en el ciclo vigente de acuerdo a disponibilidad de recursos </v>
      </c>
    </row>
    <row r="20" spans="2:21" ht="43.5" customHeight="1" thickBot="1" x14ac:dyDescent="0.35">
      <c r="B20" s="253" t="str">
        <f>+'PAA OCI  '!B28</f>
        <v xml:space="preserve">Apoyo realización comité de auditoría y seguimiento de los compromisos establecidos </v>
      </c>
      <c r="C20" s="216">
        <f>+'ANALISIS OCI'!X18</f>
        <v>0</v>
      </c>
      <c r="D20" s="217">
        <f>+'ANALISIS OCI'!Y18</f>
        <v>0</v>
      </c>
      <c r="E20" s="217">
        <f>+'ANALISIS OCI'!Z18</f>
        <v>2</v>
      </c>
      <c r="F20" s="217">
        <f>+'ANALISIS OCI'!AA18</f>
        <v>3</v>
      </c>
      <c r="G20" s="218">
        <f>SUM(C20:F20)</f>
        <v>5</v>
      </c>
      <c r="H20" s="206" t="str">
        <f>IF(G20=0,0,IF(($C20/$G20)&gt;=0.2,"Extremo",+IF((($C20/G20)+($D20/$G20))&gt;=0.3,"Alto",+IF((($C20/$G20)+($D20/$G20)+($E20/$G20))&gt;=0.4,"Moderado",+IF(($C20/$G20)+($D20/$G20)+($E20/$G20)+($F20/$G20)&gt;=0.5,"Bajo",IF(G20=0,0))))))</f>
        <v>Moderado</v>
      </c>
      <c r="I20" s="207">
        <f>(IF(H20="Extremo",50%,(IF(H20="Alto",40%,IF(H20="Moderado",15%,IF(H20="Bajo",10%,0))))))</f>
        <v>0.15</v>
      </c>
      <c r="J20" s="203" t="str">
        <f>'ANALISIS OCI'!AC18</f>
        <v>Moderado</v>
      </c>
      <c r="K20" s="204">
        <f>(IF(J20="Extremo",50%,(IF(J20="Alto",40%,IF(J20="Moderado",15%,IF(J20="Bajo",10%,0))))))</f>
        <v>0.15</v>
      </c>
      <c r="L20" s="205">
        <f>IF(I20=0,K20,I20)</f>
        <v>0.15</v>
      </c>
      <c r="M20" s="219"/>
      <c r="N20" s="220">
        <f>IF(M20="Si",100%,IF(M20="No",0,0))</f>
        <v>0</v>
      </c>
      <c r="O20" s="221"/>
      <c r="P20" s="222">
        <f>IF(O20="Si",20%,IF(O20="No",0,0))</f>
        <v>0</v>
      </c>
      <c r="Q20" s="208"/>
      <c r="R20" s="209">
        <f>+$C$6-Q20</f>
        <v>45657</v>
      </c>
      <c r="S20" s="223">
        <f>IF(R20&gt;=1080,30%,IF(R20&gt;=720,20%,IF(R20&gt;=360,10%,IF(R20&lt;=359,0%,0))))</f>
        <v>0.3</v>
      </c>
      <c r="T20" s="194">
        <f>IF(N20=100%,100%,(L20+P20+S20))</f>
        <v>0.44999999999999996</v>
      </c>
      <c r="U20" s="179" t="str">
        <f>+IF(T20&gt;=85%,$AB$12,IF(AND( T20&gt;65%,T20&lt;85%),$AB$13,$AB$14))</f>
        <v>Incluir en ciclos posteriores de auditoría</v>
      </c>
    </row>
    <row r="21" spans="2:21" ht="54" customHeight="1" thickBot="1" x14ac:dyDescent="0.35">
      <c r="B21" s="253" t="str">
        <f>+'PAA OCI  '!B29</f>
        <v>Proceso adquisición de suelo por enajenación voluntaria, expropiación administrativa o judicial - Adquisición proyectos Tercera Concurrencia - Adquisición proyecto San Bernardo Tercer Milenio AMD 1 – Convenio 3151-2019 suscrito con el IDRD.</v>
      </c>
      <c r="C21" s="216">
        <f>+'ANALISIS OCI'!X19</f>
        <v>3</v>
      </c>
      <c r="D21" s="217">
        <f>+'ANALISIS OCI'!Y19</f>
        <v>0</v>
      </c>
      <c r="E21" s="217">
        <f>+'ANALISIS OCI'!Z19</f>
        <v>0</v>
      </c>
      <c r="F21" s="217">
        <f>+'ANALISIS OCI'!AA19</f>
        <v>1</v>
      </c>
      <c r="G21" s="218">
        <f>SUM(C21:F21)</f>
        <v>4</v>
      </c>
      <c r="H21" s="206" t="str">
        <f>IF(G21=0,0,IF(($C21/$G21)&gt;=0.2,"Extremo",+IF((($C21/G21)+($D21/$G21))&gt;=0.3,"Alto",+IF((($C21/$G21)+($D21/$G21)+($E21/$G21))&gt;=0.4,"Moderado",+IF(($C21/$G21)+($D21/$G21)+($E21/$G21)+($F21/$G21)&gt;=0.5,"Bajo",IF(G21=0,0))))))</f>
        <v>Extremo</v>
      </c>
      <c r="I21" s="207">
        <f>(IF(H21="Extremo",50%,(IF(H21="Alto",40%,IF(H21="Moderado",15%,IF(H21="Bajo",10%,0))))))</f>
        <v>0.5</v>
      </c>
      <c r="J21" s="203" t="str">
        <f>'ANALISIS OCI'!AC19</f>
        <v>Extremo</v>
      </c>
      <c r="K21" s="204">
        <f>(IF(J21="Extremo",50%,(IF(J21="Alto",40%,IF(J21="Moderado",15%,IF(J21="Bajo",10%,0))))))</f>
        <v>0.5</v>
      </c>
      <c r="L21" s="205">
        <f>IF(I21=0,K21,I21)</f>
        <v>0.5</v>
      </c>
      <c r="M21" s="219"/>
      <c r="N21" s="220">
        <f>IF(M21="Si",100%,IF(M21="No",0,0))</f>
        <v>0</v>
      </c>
      <c r="O21" s="221"/>
      <c r="P21" s="222">
        <f>IF(O21="Si",20%,IF(O21="No",0,0))</f>
        <v>0</v>
      </c>
      <c r="Q21" s="208"/>
      <c r="R21" s="209">
        <f>+$C$6-Q21</f>
        <v>45657</v>
      </c>
      <c r="S21" s="223">
        <f>IF(R21&gt;=1080,30%,IF(R21&gt;=720,20%,IF(R21&gt;=360,10%,IF(R21&lt;=359,0%,0))))</f>
        <v>0.3</v>
      </c>
      <c r="T21" s="194">
        <f>IF(N21=100%,100%,(L21+P21+S21))</f>
        <v>0.8</v>
      </c>
      <c r="U21" s="179" t="str">
        <f>+IF(T21&gt;=85%,$AB$12,IF(AND( T21&gt;65%,T21&lt;85%),$AB$13,$AB$14))</f>
        <v xml:space="preserve">Incluir en el ciclo vigente de acuerdo a disponibilidad de recursos </v>
      </c>
    </row>
    <row r="22" spans="2:21" ht="54" customHeight="1" thickBot="1" x14ac:dyDescent="0.35">
      <c r="B22" s="253" t="str">
        <f>+'PAA OCI  '!B30</f>
        <v>Maduración y Calidad en la construccion del anexo técnico para los proyectos - gestión contractual</v>
      </c>
      <c r="C22" s="216">
        <f>+'ANALISIS OCI'!X20</f>
        <v>0</v>
      </c>
      <c r="D22" s="217">
        <f>+'ANALISIS OCI'!Y20</f>
        <v>0</v>
      </c>
      <c r="E22" s="217">
        <f>+'ANALISIS OCI'!Z20</f>
        <v>2</v>
      </c>
      <c r="F22" s="217">
        <f>+'ANALISIS OCI'!AA20</f>
        <v>3</v>
      </c>
      <c r="G22" s="218">
        <f t="shared" si="4"/>
        <v>5</v>
      </c>
      <c r="H22" s="206" t="str">
        <f t="shared" si="5"/>
        <v>Moderado</v>
      </c>
      <c r="I22" s="207">
        <f>(IF(H22="Extremo",50%,(IF(H22="Alto",40%,IF(H22="Moderado",15%,IF(H22="Bajo",10%,0))))))</f>
        <v>0.15</v>
      </c>
      <c r="J22" s="203" t="str">
        <f>'ANALISIS OCI'!AC20</f>
        <v>Moderado</v>
      </c>
      <c r="K22" s="204">
        <f t="shared" si="9"/>
        <v>0.15</v>
      </c>
      <c r="L22" s="205">
        <f t="shared" si="6"/>
        <v>0.15</v>
      </c>
      <c r="M22" s="219"/>
      <c r="N22" s="220">
        <f t="shared" si="1"/>
        <v>0</v>
      </c>
      <c r="O22" s="221"/>
      <c r="P22" s="222">
        <f t="shared" si="2"/>
        <v>0</v>
      </c>
      <c r="Q22" s="208"/>
      <c r="R22" s="209">
        <f t="shared" si="10"/>
        <v>45657</v>
      </c>
      <c r="S22" s="223">
        <f t="shared" si="3"/>
        <v>0.3</v>
      </c>
      <c r="T22" s="194">
        <f t="shared" si="7"/>
        <v>0.44999999999999996</v>
      </c>
      <c r="U22" s="179" t="str">
        <f t="shared" si="8"/>
        <v>Incluir en ciclos posteriores de auditoría</v>
      </c>
    </row>
    <row r="23" spans="2:21" ht="43.5" customHeight="1" thickBot="1" x14ac:dyDescent="0.35">
      <c r="B23" s="253" t="e">
        <f>+'PAA OCI  '!#REF!</f>
        <v>#REF!</v>
      </c>
      <c r="C23" s="216">
        <f>+'ANALISIS OCI'!X21</f>
        <v>0</v>
      </c>
      <c r="D23" s="217">
        <f>+'ANALISIS OCI'!Y21</f>
        <v>0</v>
      </c>
      <c r="E23" s="217">
        <f>+'ANALISIS OCI'!Z21</f>
        <v>2</v>
      </c>
      <c r="F23" s="217">
        <f>+'ANALISIS OCI'!AA21</f>
        <v>3</v>
      </c>
      <c r="G23" s="218">
        <f t="shared" si="4"/>
        <v>5</v>
      </c>
      <c r="H23" s="206" t="str">
        <f t="shared" si="5"/>
        <v>Moderado</v>
      </c>
      <c r="I23" s="207">
        <f t="shared" si="0"/>
        <v>0.15</v>
      </c>
      <c r="J23" s="203" t="str">
        <f>'ANALISIS OCI'!AC21</f>
        <v>Moderado</v>
      </c>
      <c r="K23" s="204">
        <f t="shared" si="9"/>
        <v>0.15</v>
      </c>
      <c r="L23" s="205">
        <f t="shared" si="6"/>
        <v>0.15</v>
      </c>
      <c r="M23" s="219"/>
      <c r="N23" s="220">
        <f t="shared" si="1"/>
        <v>0</v>
      </c>
      <c r="O23" s="221"/>
      <c r="P23" s="222">
        <f t="shared" si="2"/>
        <v>0</v>
      </c>
      <c r="Q23" s="208"/>
      <c r="R23" s="209">
        <f t="shared" si="10"/>
        <v>45657</v>
      </c>
      <c r="S23" s="223">
        <f t="shared" si="3"/>
        <v>0.3</v>
      </c>
      <c r="T23" s="167">
        <f t="shared" si="7"/>
        <v>0.44999999999999996</v>
      </c>
      <c r="U23" s="179" t="str">
        <f t="shared" si="8"/>
        <v>Incluir en ciclos posteriores de auditoría</v>
      </c>
    </row>
    <row r="24" spans="2:21" ht="43.5" customHeight="1" thickBot="1" x14ac:dyDescent="0.35">
      <c r="B24" s="253" t="str">
        <f>+'PAA OCI  '!B31</f>
        <v>Auditoria implementación sistema de información SIM</v>
      </c>
      <c r="C24" s="216">
        <f>+'ANALISIS OCI'!X22</f>
        <v>1</v>
      </c>
      <c r="D24" s="217">
        <f>+'ANALISIS OCI'!Y22</f>
        <v>0</v>
      </c>
      <c r="E24" s="217">
        <f>+'ANALISIS OCI'!Z22</f>
        <v>1</v>
      </c>
      <c r="F24" s="217">
        <f>+'ANALISIS OCI'!AA22</f>
        <v>2</v>
      </c>
      <c r="G24" s="218">
        <f t="shared" si="4"/>
        <v>4</v>
      </c>
      <c r="H24" s="206" t="str">
        <f t="shared" si="5"/>
        <v>Extremo</v>
      </c>
      <c r="I24" s="207">
        <f t="shared" si="0"/>
        <v>0.5</v>
      </c>
      <c r="J24" s="203" t="str">
        <f>'ANALISIS OCI'!AC22</f>
        <v>Extremo</v>
      </c>
      <c r="K24" s="204">
        <f t="shared" si="9"/>
        <v>0.5</v>
      </c>
      <c r="L24" s="205">
        <f t="shared" si="6"/>
        <v>0.5</v>
      </c>
      <c r="M24" s="219"/>
      <c r="N24" s="220">
        <f t="shared" si="1"/>
        <v>0</v>
      </c>
      <c r="O24" s="221"/>
      <c r="P24" s="222">
        <f t="shared" si="2"/>
        <v>0</v>
      </c>
      <c r="Q24" s="208"/>
      <c r="R24" s="209">
        <f t="shared" si="10"/>
        <v>45657</v>
      </c>
      <c r="S24" s="223">
        <f t="shared" si="3"/>
        <v>0.3</v>
      </c>
      <c r="T24" s="167">
        <f>IF(N24=100%,100%,(L24+P24+S24))</f>
        <v>0.8</v>
      </c>
      <c r="U24" s="179" t="str">
        <f t="shared" si="8"/>
        <v xml:space="preserve">Incluir en el ciclo vigente de acuerdo a disponibilidad de recursos </v>
      </c>
    </row>
    <row r="25" spans="2:21" ht="48.75" customHeight="1" thickBot="1" x14ac:dyDescent="0.35">
      <c r="B25" s="253" t="str">
        <f>+'PAA OCI  '!B32</f>
        <v>Auditoria proyecto misional 1 (proyecto san Bernardo)</v>
      </c>
      <c r="C25" s="216">
        <f>+'ANALISIS OCI'!X23</f>
        <v>1</v>
      </c>
      <c r="D25" s="217">
        <f>+'ANALISIS OCI'!Y23</f>
        <v>0</v>
      </c>
      <c r="E25" s="217">
        <f>+'ANALISIS OCI'!Z23</f>
        <v>1</v>
      </c>
      <c r="F25" s="217">
        <f>+'ANALISIS OCI'!AA23</f>
        <v>2</v>
      </c>
      <c r="G25" s="218">
        <f t="shared" si="4"/>
        <v>4</v>
      </c>
      <c r="H25" s="206" t="str">
        <f t="shared" si="5"/>
        <v>Extremo</v>
      </c>
      <c r="I25" s="207">
        <f t="shared" si="0"/>
        <v>0.5</v>
      </c>
      <c r="J25" s="203" t="str">
        <f>'ANALISIS OCI'!AC23</f>
        <v>Extremo</v>
      </c>
      <c r="K25" s="204">
        <f t="shared" si="9"/>
        <v>0.5</v>
      </c>
      <c r="L25" s="205">
        <f t="shared" si="6"/>
        <v>0.5</v>
      </c>
      <c r="M25" s="219"/>
      <c r="N25" s="220">
        <f t="shared" si="1"/>
        <v>0</v>
      </c>
      <c r="O25" s="221"/>
      <c r="P25" s="222">
        <f t="shared" si="2"/>
        <v>0</v>
      </c>
      <c r="Q25" s="208"/>
      <c r="R25" s="209">
        <f t="shared" si="10"/>
        <v>45657</v>
      </c>
      <c r="S25" s="223">
        <f t="shared" si="3"/>
        <v>0.3</v>
      </c>
      <c r="T25" s="167">
        <f t="shared" si="7"/>
        <v>0.8</v>
      </c>
      <c r="U25" s="179" t="str">
        <f t="shared" si="8"/>
        <v xml:space="preserve">Incluir en el ciclo vigente de acuerdo a disponibilidad de recursos </v>
      </c>
    </row>
    <row r="26" spans="2:21" ht="50.25" thickBot="1" x14ac:dyDescent="0.35">
      <c r="B26" s="253" t="str">
        <f>+'PAA OCI  '!B33</f>
        <v>Auditoria proyecto misional 2 (Actuaciones Estrategicas)</v>
      </c>
      <c r="C26" s="216">
        <f>+'ANALISIS OCI'!X24</f>
        <v>1</v>
      </c>
      <c r="D26" s="217">
        <f>+'ANALISIS OCI'!Y24</f>
        <v>0</v>
      </c>
      <c r="E26" s="217">
        <f>+'ANALISIS OCI'!Z24</f>
        <v>1</v>
      </c>
      <c r="F26" s="217">
        <f>+'ANALISIS OCI'!AA24</f>
        <v>2</v>
      </c>
      <c r="G26" s="218">
        <f t="shared" si="4"/>
        <v>4</v>
      </c>
      <c r="H26" s="206" t="str">
        <f t="shared" si="5"/>
        <v>Extremo</v>
      </c>
      <c r="I26" s="207">
        <f t="shared" si="0"/>
        <v>0.5</v>
      </c>
      <c r="J26" s="203" t="str">
        <f>'ANALISIS OCI'!AC24</f>
        <v>Extremo</v>
      </c>
      <c r="K26" s="204">
        <f t="shared" si="9"/>
        <v>0.5</v>
      </c>
      <c r="L26" s="205">
        <f t="shared" si="6"/>
        <v>0.5</v>
      </c>
      <c r="M26" s="219"/>
      <c r="N26" s="220">
        <f t="shared" si="1"/>
        <v>0</v>
      </c>
      <c r="O26" s="221"/>
      <c r="P26" s="222">
        <f t="shared" si="2"/>
        <v>0</v>
      </c>
      <c r="Q26" s="208"/>
      <c r="R26" s="209">
        <f t="shared" si="10"/>
        <v>45657</v>
      </c>
      <c r="S26" s="223">
        <f t="shared" si="3"/>
        <v>0.3</v>
      </c>
      <c r="T26" s="167">
        <f t="shared" si="7"/>
        <v>0.8</v>
      </c>
      <c r="U26" s="179" t="str">
        <f t="shared" si="8"/>
        <v xml:space="preserve">Incluir en el ciclo vigente de acuerdo a disponibilidad de recursos </v>
      </c>
    </row>
    <row r="27" spans="2:21" ht="33.75" thickBot="1" x14ac:dyDescent="0.35">
      <c r="B27" s="253" t="str">
        <f>+'PAA OCI  '!B34</f>
        <v>Auditoria de Gestión Contractual</v>
      </c>
      <c r="C27" s="216">
        <f>+'ANALISIS OCI'!X25</f>
        <v>0</v>
      </c>
      <c r="D27" s="217">
        <f>+'ANALISIS OCI'!Y25</f>
        <v>1</v>
      </c>
      <c r="E27" s="217">
        <f>+'ANALISIS OCI'!Z25</f>
        <v>1</v>
      </c>
      <c r="F27" s="217">
        <f>+'ANALISIS OCI'!AA25</f>
        <v>4</v>
      </c>
      <c r="G27" s="218">
        <f t="shared" si="4"/>
        <v>6</v>
      </c>
      <c r="H27" s="206" t="str">
        <f t="shared" si="5"/>
        <v>Bajo</v>
      </c>
      <c r="I27" s="207">
        <f t="shared" si="0"/>
        <v>0.1</v>
      </c>
      <c r="J27" s="203" t="str">
        <f>'ANALISIS OCI'!AC25</f>
        <v>Bajo</v>
      </c>
      <c r="K27" s="204">
        <f t="shared" si="9"/>
        <v>0.1</v>
      </c>
      <c r="L27" s="205">
        <f t="shared" si="6"/>
        <v>0.1</v>
      </c>
      <c r="M27" s="219"/>
      <c r="N27" s="220">
        <f t="shared" si="1"/>
        <v>0</v>
      </c>
      <c r="O27" s="221"/>
      <c r="P27" s="222">
        <f t="shared" si="2"/>
        <v>0</v>
      </c>
      <c r="Q27" s="208"/>
      <c r="R27" s="209">
        <f t="shared" si="10"/>
        <v>45657</v>
      </c>
      <c r="S27" s="223">
        <f t="shared" si="3"/>
        <v>0.3</v>
      </c>
      <c r="T27" s="167">
        <f t="shared" si="7"/>
        <v>0.4</v>
      </c>
      <c r="U27" s="179" t="str">
        <f t="shared" si="8"/>
        <v>Incluir en ciclos posteriores de auditoría</v>
      </c>
    </row>
    <row r="28" spans="2:21" ht="50.25" thickBot="1" x14ac:dyDescent="0.35">
      <c r="B28" s="253" t="str">
        <f>+'PAA OCI  '!B35</f>
        <v>Auditoria proceso administrativo 1 (Esquema Fiduciario)</v>
      </c>
      <c r="C28" s="216">
        <f>+'ANALISIS OCI'!X26</f>
        <v>0</v>
      </c>
      <c r="D28" s="217">
        <f>+'ANALISIS OCI'!Y26</f>
        <v>1</v>
      </c>
      <c r="E28" s="217">
        <f>+'ANALISIS OCI'!Z26</f>
        <v>1</v>
      </c>
      <c r="F28" s="217">
        <f>+'ANALISIS OCI'!AA26</f>
        <v>1</v>
      </c>
      <c r="G28" s="218">
        <f t="shared" si="4"/>
        <v>3</v>
      </c>
      <c r="H28" s="206" t="str">
        <f t="shared" si="5"/>
        <v>Alto</v>
      </c>
      <c r="I28" s="207">
        <f t="shared" si="0"/>
        <v>0.4</v>
      </c>
      <c r="J28" s="203" t="str">
        <f>'ANALISIS OCI'!AC26</f>
        <v>Alto</v>
      </c>
      <c r="K28" s="204">
        <f t="shared" si="9"/>
        <v>0.4</v>
      </c>
      <c r="L28" s="205">
        <f t="shared" si="6"/>
        <v>0.4</v>
      </c>
      <c r="M28" s="219"/>
      <c r="N28" s="220">
        <f t="shared" si="1"/>
        <v>0</v>
      </c>
      <c r="O28" s="221"/>
      <c r="P28" s="222">
        <f t="shared" si="2"/>
        <v>0</v>
      </c>
      <c r="Q28" s="208"/>
      <c r="R28" s="209">
        <f t="shared" si="10"/>
        <v>45657</v>
      </c>
      <c r="S28" s="223">
        <f t="shared" si="3"/>
        <v>0.3</v>
      </c>
      <c r="T28" s="167">
        <f t="shared" si="7"/>
        <v>0.7</v>
      </c>
      <c r="U28" s="179" t="str">
        <f t="shared" si="8"/>
        <v xml:space="preserve">Incluir en el ciclo vigente de acuerdo a disponibilidad de recursos </v>
      </c>
    </row>
    <row r="29" spans="2:21" ht="50.25" thickBot="1" x14ac:dyDescent="0.35">
      <c r="B29" s="282" t="s">
        <v>476</v>
      </c>
      <c r="C29" s="216">
        <f>+'ANALISIS OCI'!X27</f>
        <v>1</v>
      </c>
      <c r="D29" s="217">
        <f>+'ANALISIS OCI'!Y27</f>
        <v>0</v>
      </c>
      <c r="E29" s="217">
        <f>+'ANALISIS OCI'!Z27</f>
        <v>1</v>
      </c>
      <c r="F29" s="217">
        <f>+'ANALISIS OCI'!AA27</f>
        <v>2</v>
      </c>
      <c r="G29" s="218">
        <f t="shared" ref="G29:G52" si="11">SUM(C29:F29)</f>
        <v>4</v>
      </c>
      <c r="H29" s="206" t="str">
        <f t="shared" ref="H29:H54" si="12">IF(G29=0,0,IF(($C29/$G29)&gt;=0.2,"Extremo",+IF((($C29/G29)+($D29/$G29))&gt;=0.3,"Alto",+IF((($C29/$G29)+($D29/$G29)+($E29/$G29))&gt;=0.4,"Moderado",+IF(($C29/$G29)+($D29/$G29)+($E29/$G29)+($F29/$G29)&gt;=0.5,"Bajo",IF(G29=0,0))))))</f>
        <v>Extremo</v>
      </c>
      <c r="I29" s="207">
        <f t="shared" ref="I29:I54" si="13">(IF(H29="Extremo",50%,(IF(H29="Alto",40%,IF(H29="Moderado",15%,IF(H29="Bajo",10%,0))))))</f>
        <v>0.5</v>
      </c>
      <c r="J29" s="203" t="str">
        <f>'ANALISIS OCI'!AC27</f>
        <v>Extremo</v>
      </c>
      <c r="K29" s="204">
        <f t="shared" ref="K29:K54" si="14">(IF(J29="Extremo",50%,(IF(J29="Alto",40%,IF(J29="Moderado",15%,IF(J29="Bajo",10%,0))))))</f>
        <v>0.5</v>
      </c>
      <c r="L29" s="205">
        <f t="shared" ref="L29:L54" si="15">IF(I29=0,K29,I29)</f>
        <v>0.5</v>
      </c>
      <c r="M29" s="219"/>
      <c r="N29" s="220">
        <f t="shared" ref="N29:N54" si="16">IF(M29="Si",100%,IF(M29="No",0,0))</f>
        <v>0</v>
      </c>
      <c r="O29" s="221"/>
      <c r="P29" s="222">
        <f t="shared" ref="P29:P54" si="17">IF(O29="Si",20%,IF(O29="No",0,0))</f>
        <v>0</v>
      </c>
      <c r="Q29" s="208">
        <v>45201</v>
      </c>
      <c r="R29" s="209">
        <f t="shared" ref="R29:R54" si="18">+$C$6-Q29</f>
        <v>456</v>
      </c>
      <c r="S29" s="223">
        <f t="shared" si="3"/>
        <v>0.1</v>
      </c>
      <c r="T29" s="167">
        <f t="shared" si="7"/>
        <v>0.6</v>
      </c>
      <c r="U29" s="179" t="str">
        <f t="shared" si="8"/>
        <v>Incluir en ciclos posteriores de auditoría</v>
      </c>
    </row>
    <row r="30" spans="2:21" ht="43.5" customHeight="1" thickBot="1" x14ac:dyDescent="0.35">
      <c r="B30" s="282" t="s">
        <v>477</v>
      </c>
      <c r="C30" s="216">
        <f>+'ANALISIS OCI'!X28</f>
        <v>0</v>
      </c>
      <c r="D30" s="217">
        <f>+'ANALISIS OCI'!Y28</f>
        <v>1</v>
      </c>
      <c r="E30" s="217">
        <f>+'ANALISIS OCI'!Z28</f>
        <v>1</v>
      </c>
      <c r="F30" s="217">
        <f>+'ANALISIS OCI'!AA28</f>
        <v>1</v>
      </c>
      <c r="G30" s="218">
        <f t="shared" si="11"/>
        <v>3</v>
      </c>
      <c r="H30" s="206" t="str">
        <f t="shared" si="12"/>
        <v>Alto</v>
      </c>
      <c r="I30" s="207">
        <f t="shared" si="13"/>
        <v>0.4</v>
      </c>
      <c r="J30" s="203" t="str">
        <f>'ANALISIS OCI'!AC28</f>
        <v>Alto</v>
      </c>
      <c r="K30" s="204">
        <f t="shared" si="14"/>
        <v>0.4</v>
      </c>
      <c r="L30" s="205">
        <f t="shared" si="15"/>
        <v>0.4</v>
      </c>
      <c r="M30" s="219"/>
      <c r="N30" s="220">
        <f t="shared" si="16"/>
        <v>0</v>
      </c>
      <c r="O30" s="221"/>
      <c r="P30" s="222">
        <f t="shared" si="17"/>
        <v>0</v>
      </c>
      <c r="Q30" s="208">
        <v>45127</v>
      </c>
      <c r="R30" s="209">
        <f t="shared" si="18"/>
        <v>530</v>
      </c>
      <c r="S30" s="223">
        <f t="shared" si="3"/>
        <v>0.1</v>
      </c>
      <c r="T30" s="167">
        <f t="shared" si="7"/>
        <v>0.5</v>
      </c>
      <c r="U30" s="179" t="str">
        <f t="shared" si="8"/>
        <v>Incluir en ciclos posteriores de auditoría</v>
      </c>
    </row>
    <row r="31" spans="2:21" ht="43.5" customHeight="1" thickBot="1" x14ac:dyDescent="0.35">
      <c r="B31" s="282" t="s">
        <v>478</v>
      </c>
      <c r="C31" s="216">
        <f>+'ANALISIS OCI'!X29</f>
        <v>0</v>
      </c>
      <c r="D31" s="217">
        <f>+'ANALISIS OCI'!Y29</f>
        <v>1</v>
      </c>
      <c r="E31" s="217">
        <f>+'ANALISIS OCI'!Z29</f>
        <v>1</v>
      </c>
      <c r="F31" s="217">
        <f>+'ANALISIS OCI'!AA29</f>
        <v>1</v>
      </c>
      <c r="G31" s="218">
        <f t="shared" si="11"/>
        <v>3</v>
      </c>
      <c r="H31" s="206" t="str">
        <f t="shared" si="12"/>
        <v>Alto</v>
      </c>
      <c r="I31" s="207">
        <f t="shared" si="13"/>
        <v>0.4</v>
      </c>
      <c r="J31" s="203" t="str">
        <f>'ANALISIS OCI'!AC29</f>
        <v>Alto</v>
      </c>
      <c r="K31" s="204">
        <f t="shared" si="14"/>
        <v>0.4</v>
      </c>
      <c r="L31" s="205">
        <f t="shared" si="15"/>
        <v>0.4</v>
      </c>
      <c r="M31" s="219"/>
      <c r="N31" s="220">
        <f t="shared" si="16"/>
        <v>0</v>
      </c>
      <c r="O31" s="221"/>
      <c r="P31" s="222">
        <f t="shared" si="17"/>
        <v>0</v>
      </c>
      <c r="Q31" s="208">
        <v>45137</v>
      </c>
      <c r="R31" s="209">
        <f t="shared" si="18"/>
        <v>520</v>
      </c>
      <c r="S31" s="223">
        <f t="shared" si="3"/>
        <v>0.1</v>
      </c>
      <c r="T31" s="167">
        <f t="shared" si="7"/>
        <v>0.5</v>
      </c>
      <c r="U31" s="179" t="str">
        <f t="shared" si="8"/>
        <v>Incluir en ciclos posteriores de auditoría</v>
      </c>
    </row>
    <row r="32" spans="2:21" ht="43.5" customHeight="1" thickBot="1" x14ac:dyDescent="0.35">
      <c r="B32" s="282" t="s">
        <v>479</v>
      </c>
      <c r="C32" s="216">
        <f>+'ANALISIS OCI'!X30</f>
        <v>0</v>
      </c>
      <c r="D32" s="217">
        <f>+'ANALISIS OCI'!Y30</f>
        <v>0</v>
      </c>
      <c r="E32" s="217">
        <f>+'ANALISIS OCI'!Z30</f>
        <v>2</v>
      </c>
      <c r="F32" s="217">
        <f>+'ANALISIS OCI'!AA30</f>
        <v>2</v>
      </c>
      <c r="G32" s="218">
        <f t="shared" si="11"/>
        <v>4</v>
      </c>
      <c r="H32" s="206" t="str">
        <f t="shared" si="12"/>
        <v>Moderado</v>
      </c>
      <c r="I32" s="207">
        <f t="shared" si="13"/>
        <v>0.15</v>
      </c>
      <c r="J32" s="203" t="str">
        <f>'ANALISIS OCI'!AC30</f>
        <v>Moderado</v>
      </c>
      <c r="K32" s="204">
        <f t="shared" si="14"/>
        <v>0.15</v>
      </c>
      <c r="L32" s="205">
        <f t="shared" si="15"/>
        <v>0.15</v>
      </c>
      <c r="M32" s="219"/>
      <c r="N32" s="220">
        <f t="shared" si="16"/>
        <v>0</v>
      </c>
      <c r="O32" s="221"/>
      <c r="P32" s="222">
        <f t="shared" si="17"/>
        <v>0</v>
      </c>
      <c r="Q32" s="208">
        <v>45076</v>
      </c>
      <c r="R32" s="209">
        <f t="shared" si="18"/>
        <v>581</v>
      </c>
      <c r="S32" s="223">
        <f t="shared" si="3"/>
        <v>0.1</v>
      </c>
      <c r="T32" s="167">
        <f t="shared" si="7"/>
        <v>0.25</v>
      </c>
      <c r="U32" s="179" t="str">
        <f t="shared" si="8"/>
        <v>Incluir en ciclos posteriores de auditoría</v>
      </c>
    </row>
    <row r="33" spans="2:21" ht="43.5" customHeight="1" thickBot="1" x14ac:dyDescent="0.35">
      <c r="B33" s="282" t="s">
        <v>480</v>
      </c>
      <c r="C33" s="216">
        <f>+'ANALISIS OCI'!X31</f>
        <v>1</v>
      </c>
      <c r="D33" s="217">
        <f>+'ANALISIS OCI'!Y31</f>
        <v>0</v>
      </c>
      <c r="E33" s="217">
        <f>+'ANALISIS OCI'!Z31</f>
        <v>0</v>
      </c>
      <c r="F33" s="217">
        <f>+'ANALISIS OCI'!AA31</f>
        <v>3</v>
      </c>
      <c r="G33" s="218">
        <f t="shared" si="11"/>
        <v>4</v>
      </c>
      <c r="H33" s="206" t="str">
        <f t="shared" si="12"/>
        <v>Extremo</v>
      </c>
      <c r="I33" s="207">
        <f t="shared" si="13"/>
        <v>0.5</v>
      </c>
      <c r="J33" s="203" t="str">
        <f>'ANALISIS OCI'!AC31</f>
        <v>Extremo</v>
      </c>
      <c r="K33" s="204">
        <f t="shared" si="14"/>
        <v>0.5</v>
      </c>
      <c r="L33" s="205">
        <f t="shared" si="15"/>
        <v>0.5</v>
      </c>
      <c r="M33" s="219"/>
      <c r="N33" s="220">
        <f t="shared" si="16"/>
        <v>0</v>
      </c>
      <c r="O33" s="221"/>
      <c r="P33" s="222">
        <f t="shared" si="17"/>
        <v>0</v>
      </c>
      <c r="Q33" s="208">
        <v>45093</v>
      </c>
      <c r="R33" s="209">
        <f t="shared" si="18"/>
        <v>564</v>
      </c>
      <c r="S33" s="223">
        <f t="shared" si="3"/>
        <v>0.1</v>
      </c>
      <c r="T33" s="167">
        <f t="shared" si="7"/>
        <v>0.6</v>
      </c>
      <c r="U33" s="179" t="str">
        <f t="shared" si="8"/>
        <v>Incluir en ciclos posteriores de auditoría</v>
      </c>
    </row>
    <row r="34" spans="2:21" ht="43.5" customHeight="1" thickBot="1" x14ac:dyDescent="0.35">
      <c r="B34" s="282" t="s">
        <v>481</v>
      </c>
      <c r="C34" s="216">
        <f>+'ANALISIS OCI'!X32</f>
        <v>1</v>
      </c>
      <c r="D34" s="217">
        <f>+'ANALISIS OCI'!Y32</f>
        <v>0</v>
      </c>
      <c r="E34" s="217">
        <f>+'ANALISIS OCI'!Z32</f>
        <v>0</v>
      </c>
      <c r="F34" s="217">
        <f>+'ANALISIS OCI'!AA32</f>
        <v>4</v>
      </c>
      <c r="G34" s="218">
        <f t="shared" si="11"/>
        <v>5</v>
      </c>
      <c r="H34" s="206" t="str">
        <f t="shared" si="12"/>
        <v>Extremo</v>
      </c>
      <c r="I34" s="207">
        <f t="shared" si="13"/>
        <v>0.5</v>
      </c>
      <c r="J34" s="203" t="str">
        <f>'ANALISIS OCI'!AC32</f>
        <v>Extremo</v>
      </c>
      <c r="K34" s="204">
        <f t="shared" si="14"/>
        <v>0.5</v>
      </c>
      <c r="L34" s="205">
        <f t="shared" si="15"/>
        <v>0.5</v>
      </c>
      <c r="M34" s="219"/>
      <c r="N34" s="220">
        <f t="shared" si="16"/>
        <v>0</v>
      </c>
      <c r="O34" s="221"/>
      <c r="P34" s="222">
        <f t="shared" si="17"/>
        <v>0</v>
      </c>
      <c r="Q34" s="208">
        <v>45259</v>
      </c>
      <c r="R34" s="209">
        <f t="shared" si="18"/>
        <v>398</v>
      </c>
      <c r="S34" s="223">
        <f t="shared" si="3"/>
        <v>0.1</v>
      </c>
      <c r="T34" s="167">
        <f t="shared" si="7"/>
        <v>0.6</v>
      </c>
      <c r="U34" s="179" t="str">
        <f t="shared" si="8"/>
        <v>Incluir en ciclos posteriores de auditoría</v>
      </c>
    </row>
    <row r="35" spans="2:21" ht="43.5" customHeight="1" thickBot="1" x14ac:dyDescent="0.35">
      <c r="B35" s="282" t="s">
        <v>482</v>
      </c>
      <c r="C35" s="216">
        <f>+'ANALISIS OCI'!X33</f>
        <v>0</v>
      </c>
      <c r="D35" s="217">
        <f>+'ANALISIS OCI'!Y33</f>
        <v>2</v>
      </c>
      <c r="E35" s="217">
        <f>+'ANALISIS OCI'!Z33</f>
        <v>2</v>
      </c>
      <c r="F35" s="217">
        <f>+'ANALISIS OCI'!AA33</f>
        <v>2</v>
      </c>
      <c r="G35" s="218">
        <f t="shared" si="11"/>
        <v>6</v>
      </c>
      <c r="H35" s="206" t="str">
        <f t="shared" si="12"/>
        <v>Alto</v>
      </c>
      <c r="I35" s="207">
        <f t="shared" si="13"/>
        <v>0.4</v>
      </c>
      <c r="J35" s="203" t="str">
        <f>'ANALISIS OCI'!AC33</f>
        <v>Alto</v>
      </c>
      <c r="K35" s="204">
        <f t="shared" si="14"/>
        <v>0.4</v>
      </c>
      <c r="L35" s="205">
        <f t="shared" si="15"/>
        <v>0.4</v>
      </c>
      <c r="M35" s="219"/>
      <c r="N35" s="220">
        <f t="shared" si="16"/>
        <v>0</v>
      </c>
      <c r="O35" s="221"/>
      <c r="P35" s="222">
        <f t="shared" si="17"/>
        <v>0</v>
      </c>
      <c r="Q35" s="208">
        <v>45147</v>
      </c>
      <c r="R35" s="209">
        <f t="shared" si="18"/>
        <v>510</v>
      </c>
      <c r="S35" s="223">
        <f t="shared" si="3"/>
        <v>0.1</v>
      </c>
      <c r="T35" s="167">
        <f t="shared" si="7"/>
        <v>0.5</v>
      </c>
      <c r="U35" s="179" t="str">
        <f t="shared" si="8"/>
        <v>Incluir en ciclos posteriores de auditoría</v>
      </c>
    </row>
    <row r="36" spans="2:21" ht="43.5" customHeight="1" thickBot="1" x14ac:dyDescent="0.35">
      <c r="B36" s="282" t="s">
        <v>483</v>
      </c>
      <c r="C36" s="216">
        <f>+'ANALISIS OCI'!X34</f>
        <v>0</v>
      </c>
      <c r="D36" s="217">
        <f>+'ANALISIS OCI'!Y34</f>
        <v>0</v>
      </c>
      <c r="E36" s="217">
        <f>+'ANALISIS OCI'!Z34</f>
        <v>3</v>
      </c>
      <c r="F36" s="217">
        <f>+'ANALISIS OCI'!AA34</f>
        <v>1</v>
      </c>
      <c r="G36" s="218">
        <f t="shared" si="11"/>
        <v>4</v>
      </c>
      <c r="H36" s="206" t="str">
        <f t="shared" si="12"/>
        <v>Moderado</v>
      </c>
      <c r="I36" s="207">
        <f t="shared" si="13"/>
        <v>0.15</v>
      </c>
      <c r="J36" s="203" t="str">
        <f>'ANALISIS OCI'!AC34</f>
        <v>Moderado</v>
      </c>
      <c r="K36" s="204">
        <f t="shared" si="14"/>
        <v>0.15</v>
      </c>
      <c r="L36" s="205">
        <f t="shared" si="15"/>
        <v>0.15</v>
      </c>
      <c r="M36" s="219"/>
      <c r="N36" s="220">
        <f t="shared" si="16"/>
        <v>0</v>
      </c>
      <c r="O36" s="221"/>
      <c r="P36" s="222">
        <f t="shared" si="17"/>
        <v>0</v>
      </c>
      <c r="Q36" s="208">
        <v>45230</v>
      </c>
      <c r="R36" s="209">
        <f t="shared" si="18"/>
        <v>427</v>
      </c>
      <c r="S36" s="223">
        <f t="shared" si="3"/>
        <v>0.1</v>
      </c>
      <c r="T36" s="167">
        <f t="shared" si="7"/>
        <v>0.25</v>
      </c>
      <c r="U36" s="179" t="str">
        <f t="shared" si="8"/>
        <v>Incluir en ciclos posteriores de auditoría</v>
      </c>
    </row>
    <row r="37" spans="2:21" ht="43.5" customHeight="1" thickBot="1" x14ac:dyDescent="0.35">
      <c r="B37" s="282" t="s">
        <v>484</v>
      </c>
      <c r="C37" s="216">
        <f>+'ANALISIS OCI'!X35</f>
        <v>0</v>
      </c>
      <c r="D37" s="217">
        <f>+'ANALISIS OCI'!Y35</f>
        <v>0</v>
      </c>
      <c r="E37" s="217">
        <f>+'ANALISIS OCI'!Z35</f>
        <v>1</v>
      </c>
      <c r="F37" s="217">
        <f>+'ANALISIS OCI'!AA35</f>
        <v>3</v>
      </c>
      <c r="G37" s="218">
        <f t="shared" si="11"/>
        <v>4</v>
      </c>
      <c r="H37" s="206" t="str">
        <f t="shared" si="12"/>
        <v>Bajo</v>
      </c>
      <c r="I37" s="207">
        <f t="shared" si="13"/>
        <v>0.1</v>
      </c>
      <c r="J37" s="203" t="str">
        <f>'ANALISIS OCI'!AC35</f>
        <v>Bajo</v>
      </c>
      <c r="K37" s="204">
        <f t="shared" si="14"/>
        <v>0.1</v>
      </c>
      <c r="L37" s="205">
        <f t="shared" si="15"/>
        <v>0.1</v>
      </c>
      <c r="M37" s="219"/>
      <c r="N37" s="220">
        <f t="shared" si="16"/>
        <v>0</v>
      </c>
      <c r="O37" s="221"/>
      <c r="P37" s="222">
        <f t="shared" si="17"/>
        <v>0</v>
      </c>
      <c r="Q37" s="208">
        <v>45260</v>
      </c>
      <c r="R37" s="209">
        <f t="shared" si="18"/>
        <v>397</v>
      </c>
      <c r="S37" s="223">
        <f t="shared" si="3"/>
        <v>0.1</v>
      </c>
      <c r="T37" s="167">
        <f t="shared" si="7"/>
        <v>0.2</v>
      </c>
      <c r="U37" s="179" t="str">
        <f t="shared" si="8"/>
        <v>Incluir en ciclos posteriores de auditoría</v>
      </c>
    </row>
    <row r="38" spans="2:21" ht="43.5" customHeight="1" thickBot="1" x14ac:dyDescent="0.35">
      <c r="B38" s="296" t="s">
        <v>494</v>
      </c>
      <c r="C38" s="297">
        <f>+'ANALISIS OCI'!X36</f>
        <v>0</v>
      </c>
      <c r="D38" s="298">
        <f>+'ANALISIS OCI'!Y36</f>
        <v>0</v>
      </c>
      <c r="E38" s="298">
        <f>+'ANALISIS OCI'!Z36</f>
        <v>0</v>
      </c>
      <c r="F38" s="298">
        <f>+'ANALISIS OCI'!AA36</f>
        <v>3</v>
      </c>
      <c r="G38" s="299">
        <f t="shared" si="11"/>
        <v>3</v>
      </c>
      <c r="H38" s="206" t="str">
        <f t="shared" si="12"/>
        <v>Bajo</v>
      </c>
      <c r="I38" s="207">
        <f t="shared" si="13"/>
        <v>0.1</v>
      </c>
      <c r="J38" s="203" t="str">
        <f>'ANALISIS OCI'!AC36</f>
        <v>Bajo</v>
      </c>
      <c r="K38" s="204">
        <f t="shared" si="14"/>
        <v>0.1</v>
      </c>
      <c r="L38" s="205">
        <f t="shared" si="15"/>
        <v>0.1</v>
      </c>
      <c r="M38" s="219"/>
      <c r="N38" s="220">
        <f t="shared" si="16"/>
        <v>0</v>
      </c>
      <c r="O38" s="221"/>
      <c r="P38" s="222">
        <f t="shared" si="17"/>
        <v>0</v>
      </c>
      <c r="Q38" s="208">
        <v>44612</v>
      </c>
      <c r="R38" s="209">
        <f t="shared" si="18"/>
        <v>1045</v>
      </c>
      <c r="S38" s="223">
        <f t="shared" si="3"/>
        <v>0.2</v>
      </c>
      <c r="T38" s="167">
        <f t="shared" si="7"/>
        <v>0.30000000000000004</v>
      </c>
      <c r="U38" s="179" t="str">
        <f t="shared" si="8"/>
        <v>Incluir en ciclos posteriores de auditoría</v>
      </c>
    </row>
    <row r="39" spans="2:21" ht="43.5" customHeight="1" thickBot="1" x14ac:dyDescent="0.35">
      <c r="B39" s="296" t="s">
        <v>495</v>
      </c>
      <c r="C39" s="297">
        <f>+'ANALISIS OCI'!X37</f>
        <v>1</v>
      </c>
      <c r="D39" s="298">
        <f>+'ANALISIS OCI'!Y37</f>
        <v>1</v>
      </c>
      <c r="E39" s="298">
        <f>+'ANALISIS OCI'!Z37</f>
        <v>1</v>
      </c>
      <c r="F39" s="298">
        <f>+'ANALISIS OCI'!AA37</f>
        <v>3</v>
      </c>
      <c r="G39" s="299">
        <f t="shared" si="11"/>
        <v>6</v>
      </c>
      <c r="H39" s="206" t="str">
        <f t="shared" si="12"/>
        <v>Alto</v>
      </c>
      <c r="I39" s="207">
        <f t="shared" si="13"/>
        <v>0.4</v>
      </c>
      <c r="J39" s="203" t="str">
        <f>'ANALISIS OCI'!AC37</f>
        <v>Alto</v>
      </c>
      <c r="K39" s="204">
        <f t="shared" si="14"/>
        <v>0.4</v>
      </c>
      <c r="L39" s="205">
        <f t="shared" si="15"/>
        <v>0.4</v>
      </c>
      <c r="M39" s="219"/>
      <c r="N39" s="220">
        <f t="shared" si="16"/>
        <v>0</v>
      </c>
      <c r="O39" s="221"/>
      <c r="P39" s="222">
        <f t="shared" si="17"/>
        <v>0</v>
      </c>
      <c r="Q39" s="208">
        <v>44696</v>
      </c>
      <c r="R39" s="209">
        <f t="shared" si="18"/>
        <v>961</v>
      </c>
      <c r="S39" s="223">
        <f t="shared" si="3"/>
        <v>0.2</v>
      </c>
      <c r="T39" s="167">
        <f t="shared" si="7"/>
        <v>0.60000000000000009</v>
      </c>
      <c r="U39" s="179" t="str">
        <f t="shared" si="8"/>
        <v>Incluir en ciclos posteriores de auditoría</v>
      </c>
    </row>
    <row r="40" spans="2:21" ht="43.5" customHeight="1" thickBot="1" x14ac:dyDescent="0.35">
      <c r="B40" s="282" t="s">
        <v>496</v>
      </c>
      <c r="C40" s="216">
        <f>+'ANALISIS OCI'!X38</f>
        <v>1</v>
      </c>
      <c r="D40" s="217">
        <f>+'ANALISIS OCI'!Y38</f>
        <v>1</v>
      </c>
      <c r="E40" s="217">
        <f>+'ANALISIS OCI'!Z38</f>
        <v>1</v>
      </c>
      <c r="F40" s="217">
        <f>+'ANALISIS OCI'!AA38</f>
        <v>3</v>
      </c>
      <c r="G40" s="218">
        <f t="shared" si="11"/>
        <v>6</v>
      </c>
      <c r="H40" s="206" t="str">
        <f t="shared" si="12"/>
        <v>Alto</v>
      </c>
      <c r="I40" s="207">
        <f t="shared" si="13"/>
        <v>0.4</v>
      </c>
      <c r="J40" s="203" t="str">
        <f>'ANALISIS OCI'!AC38</f>
        <v>Alto</v>
      </c>
      <c r="K40" s="204">
        <f t="shared" si="14"/>
        <v>0.4</v>
      </c>
      <c r="L40" s="205">
        <f t="shared" si="15"/>
        <v>0.4</v>
      </c>
      <c r="M40" s="219"/>
      <c r="N40" s="220">
        <f t="shared" si="16"/>
        <v>0</v>
      </c>
      <c r="O40" s="221"/>
      <c r="P40" s="222">
        <f t="shared" si="17"/>
        <v>0</v>
      </c>
      <c r="Q40" s="208">
        <v>44764</v>
      </c>
      <c r="R40" s="209">
        <f t="shared" si="18"/>
        <v>893</v>
      </c>
      <c r="S40" s="223">
        <f t="shared" si="3"/>
        <v>0.2</v>
      </c>
      <c r="T40" s="167">
        <f t="shared" si="7"/>
        <v>0.60000000000000009</v>
      </c>
      <c r="U40" s="179" t="str">
        <f t="shared" si="8"/>
        <v>Incluir en ciclos posteriores de auditoría</v>
      </c>
    </row>
    <row r="41" spans="2:21" ht="43.5" customHeight="1" thickBot="1" x14ac:dyDescent="0.35">
      <c r="B41" s="282" t="s">
        <v>497</v>
      </c>
      <c r="C41" s="216">
        <f>+'ANALISIS OCI'!X39</f>
        <v>1</v>
      </c>
      <c r="D41" s="217">
        <f>+'ANALISIS OCI'!Y39</f>
        <v>1</v>
      </c>
      <c r="E41" s="217">
        <f>+'ANALISIS OCI'!Z39</f>
        <v>0</v>
      </c>
      <c r="F41" s="217">
        <f>+'ANALISIS OCI'!AA39</f>
        <v>4</v>
      </c>
      <c r="G41" s="218">
        <f t="shared" si="11"/>
        <v>6</v>
      </c>
      <c r="H41" s="206" t="str">
        <f t="shared" si="12"/>
        <v>Alto</v>
      </c>
      <c r="I41" s="207">
        <f t="shared" si="13"/>
        <v>0.4</v>
      </c>
      <c r="J41" s="203" t="str">
        <f>'ANALISIS OCI'!AC39</f>
        <v>Alto</v>
      </c>
      <c r="K41" s="204">
        <f t="shared" si="14"/>
        <v>0.4</v>
      </c>
      <c r="L41" s="205">
        <f t="shared" si="15"/>
        <v>0.4</v>
      </c>
      <c r="M41" s="219"/>
      <c r="N41" s="220">
        <f t="shared" si="16"/>
        <v>0</v>
      </c>
      <c r="O41" s="221"/>
      <c r="P41" s="222">
        <f t="shared" si="17"/>
        <v>0</v>
      </c>
      <c r="Q41" s="208">
        <v>44803</v>
      </c>
      <c r="R41" s="209">
        <f t="shared" si="18"/>
        <v>854</v>
      </c>
      <c r="S41" s="223">
        <f t="shared" si="3"/>
        <v>0.2</v>
      </c>
      <c r="T41" s="167">
        <f t="shared" si="7"/>
        <v>0.60000000000000009</v>
      </c>
      <c r="U41" s="179" t="str">
        <f t="shared" si="8"/>
        <v>Incluir en ciclos posteriores de auditoría</v>
      </c>
    </row>
    <row r="42" spans="2:21" ht="43.5" customHeight="1" thickBot="1" x14ac:dyDescent="0.35">
      <c r="B42" s="282" t="s">
        <v>498</v>
      </c>
      <c r="C42" s="216">
        <f>+'ANALISIS OCI'!X40</f>
        <v>1</v>
      </c>
      <c r="D42" s="217">
        <f>+'ANALISIS OCI'!Y40</f>
        <v>1</v>
      </c>
      <c r="E42" s="217">
        <f>+'ANALISIS OCI'!Z40</f>
        <v>2</v>
      </c>
      <c r="F42" s="217">
        <f>+'ANALISIS OCI'!AA40</f>
        <v>2</v>
      </c>
      <c r="G42" s="218">
        <f t="shared" si="11"/>
        <v>6</v>
      </c>
      <c r="H42" s="206" t="str">
        <f t="shared" si="12"/>
        <v>Alto</v>
      </c>
      <c r="I42" s="207">
        <f t="shared" si="13"/>
        <v>0.4</v>
      </c>
      <c r="J42" s="203" t="str">
        <f>'ANALISIS OCI'!AC40</f>
        <v>Alto</v>
      </c>
      <c r="K42" s="204">
        <f t="shared" si="14"/>
        <v>0.4</v>
      </c>
      <c r="L42" s="205">
        <f t="shared" si="15"/>
        <v>0.4</v>
      </c>
      <c r="M42" s="219"/>
      <c r="N42" s="220">
        <f t="shared" si="16"/>
        <v>0</v>
      </c>
      <c r="O42" s="221"/>
      <c r="P42" s="222">
        <f t="shared" si="17"/>
        <v>0</v>
      </c>
      <c r="Q42" s="208">
        <v>44895</v>
      </c>
      <c r="R42" s="209">
        <f t="shared" si="18"/>
        <v>762</v>
      </c>
      <c r="S42" s="223">
        <f t="shared" si="3"/>
        <v>0.2</v>
      </c>
      <c r="T42" s="167">
        <f t="shared" si="7"/>
        <v>0.60000000000000009</v>
      </c>
      <c r="U42" s="179" t="str">
        <f t="shared" si="8"/>
        <v>Incluir en ciclos posteriores de auditoría</v>
      </c>
    </row>
    <row r="43" spans="2:21" ht="43.5" customHeight="1" thickBot="1" x14ac:dyDescent="0.35">
      <c r="B43" s="282" t="s">
        <v>499</v>
      </c>
      <c r="C43" s="216">
        <f>+'ANALISIS OCI'!X41</f>
        <v>1</v>
      </c>
      <c r="D43" s="217">
        <f>+'ANALISIS OCI'!Y41</f>
        <v>1</v>
      </c>
      <c r="E43" s="217">
        <f>+'ANALISIS OCI'!Z41</f>
        <v>1</v>
      </c>
      <c r="F43" s="217">
        <f>+'ANALISIS OCI'!AA41</f>
        <v>3</v>
      </c>
      <c r="G43" s="218">
        <f t="shared" si="11"/>
        <v>6</v>
      </c>
      <c r="H43" s="206" t="str">
        <f t="shared" si="12"/>
        <v>Alto</v>
      </c>
      <c r="I43" s="207">
        <f t="shared" si="13"/>
        <v>0.4</v>
      </c>
      <c r="J43" s="203" t="str">
        <f>'ANALISIS OCI'!AC41</f>
        <v>Alto</v>
      </c>
      <c r="K43" s="204">
        <f t="shared" si="14"/>
        <v>0.4</v>
      </c>
      <c r="L43" s="205">
        <f t="shared" si="15"/>
        <v>0.4</v>
      </c>
      <c r="M43" s="219"/>
      <c r="N43" s="220">
        <f t="shared" si="16"/>
        <v>0</v>
      </c>
      <c r="O43" s="221"/>
      <c r="P43" s="222">
        <f t="shared" si="17"/>
        <v>0</v>
      </c>
      <c r="Q43" s="208">
        <v>44829</v>
      </c>
      <c r="R43" s="209">
        <f t="shared" si="18"/>
        <v>828</v>
      </c>
      <c r="S43" s="223">
        <f t="shared" si="3"/>
        <v>0.2</v>
      </c>
      <c r="T43" s="167">
        <f t="shared" si="7"/>
        <v>0.60000000000000009</v>
      </c>
      <c r="U43" s="179" t="str">
        <f t="shared" si="8"/>
        <v>Incluir en ciclos posteriores de auditoría</v>
      </c>
    </row>
    <row r="44" spans="2:21" ht="43.5" customHeight="1" thickBot="1" x14ac:dyDescent="0.35">
      <c r="B44" s="282" t="s">
        <v>500</v>
      </c>
      <c r="C44" s="216">
        <f>+'ANALISIS OCI'!X42</f>
        <v>0</v>
      </c>
      <c r="D44" s="217">
        <f>+'ANALISIS OCI'!Y42</f>
        <v>1</v>
      </c>
      <c r="E44" s="217">
        <f>+'ANALISIS OCI'!Z42</f>
        <v>2</v>
      </c>
      <c r="F44" s="217">
        <f>+'ANALISIS OCI'!AA42</f>
        <v>2</v>
      </c>
      <c r="G44" s="218">
        <f t="shared" si="11"/>
        <v>5</v>
      </c>
      <c r="H44" s="206" t="str">
        <f t="shared" si="12"/>
        <v>Moderado</v>
      </c>
      <c r="I44" s="207">
        <f t="shared" si="13"/>
        <v>0.15</v>
      </c>
      <c r="J44" s="203" t="str">
        <f>'ANALISIS OCI'!AC42</f>
        <v>Moderado</v>
      </c>
      <c r="K44" s="204">
        <f t="shared" si="14"/>
        <v>0.15</v>
      </c>
      <c r="L44" s="205">
        <f t="shared" si="15"/>
        <v>0.15</v>
      </c>
      <c r="M44" s="219"/>
      <c r="N44" s="220">
        <f t="shared" si="16"/>
        <v>0</v>
      </c>
      <c r="O44" s="221"/>
      <c r="P44" s="222">
        <f t="shared" si="17"/>
        <v>0</v>
      </c>
      <c r="Q44" s="208">
        <v>44895</v>
      </c>
      <c r="R44" s="209">
        <f t="shared" si="18"/>
        <v>762</v>
      </c>
      <c r="S44" s="223">
        <f t="shared" si="3"/>
        <v>0.2</v>
      </c>
      <c r="T44" s="167">
        <f t="shared" si="7"/>
        <v>0.35</v>
      </c>
      <c r="U44" s="179" t="str">
        <f t="shared" si="8"/>
        <v>Incluir en ciclos posteriores de auditoría</v>
      </c>
    </row>
    <row r="45" spans="2:21" ht="43.5" customHeight="1" thickBot="1" x14ac:dyDescent="0.35">
      <c r="B45" s="282" t="s">
        <v>501</v>
      </c>
      <c r="C45" s="216">
        <f>+'ANALISIS OCI'!X43</f>
        <v>0</v>
      </c>
      <c r="D45" s="217">
        <f>+'ANALISIS OCI'!Y43</f>
        <v>1</v>
      </c>
      <c r="E45" s="217">
        <f>+'ANALISIS OCI'!Z43</f>
        <v>1</v>
      </c>
      <c r="F45" s="217">
        <f>+'ANALISIS OCI'!AA43</f>
        <v>1</v>
      </c>
      <c r="G45" s="218">
        <f t="shared" si="11"/>
        <v>3</v>
      </c>
      <c r="H45" s="206" t="str">
        <f t="shared" si="12"/>
        <v>Alto</v>
      </c>
      <c r="I45" s="207">
        <f t="shared" si="13"/>
        <v>0.4</v>
      </c>
      <c r="J45" s="203" t="str">
        <f>'ANALISIS OCI'!AC43</f>
        <v>Alto</v>
      </c>
      <c r="K45" s="204">
        <f t="shared" si="14"/>
        <v>0.4</v>
      </c>
      <c r="L45" s="205">
        <f t="shared" si="15"/>
        <v>0.4</v>
      </c>
      <c r="M45" s="219"/>
      <c r="N45" s="220">
        <f t="shared" si="16"/>
        <v>0</v>
      </c>
      <c r="O45" s="221"/>
      <c r="P45" s="222">
        <f t="shared" si="17"/>
        <v>0</v>
      </c>
      <c r="Q45" s="208">
        <v>44895</v>
      </c>
      <c r="R45" s="209">
        <f t="shared" si="18"/>
        <v>762</v>
      </c>
      <c r="S45" s="223">
        <f t="shared" si="3"/>
        <v>0.2</v>
      </c>
      <c r="T45" s="167">
        <f t="shared" si="7"/>
        <v>0.60000000000000009</v>
      </c>
      <c r="U45" s="179" t="str">
        <f t="shared" si="8"/>
        <v>Incluir en ciclos posteriores de auditoría</v>
      </c>
    </row>
    <row r="46" spans="2:21" ht="43.5" customHeight="1" thickBot="1" x14ac:dyDescent="0.35">
      <c r="B46" s="282" t="s">
        <v>502</v>
      </c>
      <c r="C46" s="216">
        <f>+'ANALISIS OCI'!X44</f>
        <v>0</v>
      </c>
      <c r="D46" s="217">
        <f>+'ANALISIS OCI'!Y44</f>
        <v>2</v>
      </c>
      <c r="E46" s="217">
        <f>+'ANALISIS OCI'!Z44</f>
        <v>2</v>
      </c>
      <c r="F46" s="217">
        <f>+'ANALISIS OCI'!AA44</f>
        <v>2</v>
      </c>
      <c r="G46" s="218">
        <f t="shared" si="11"/>
        <v>6</v>
      </c>
      <c r="H46" s="206" t="str">
        <f t="shared" si="12"/>
        <v>Alto</v>
      </c>
      <c r="I46" s="207">
        <f t="shared" si="13"/>
        <v>0.4</v>
      </c>
      <c r="J46" s="203" t="str">
        <f>'ANALISIS OCI'!AC44</f>
        <v>Alto</v>
      </c>
      <c r="K46" s="204">
        <f t="shared" si="14"/>
        <v>0.4</v>
      </c>
      <c r="L46" s="205">
        <f t="shared" si="15"/>
        <v>0.4</v>
      </c>
      <c r="M46" s="219"/>
      <c r="N46" s="220">
        <f t="shared" si="16"/>
        <v>0</v>
      </c>
      <c r="O46" s="221"/>
      <c r="P46" s="222">
        <f t="shared" si="17"/>
        <v>0</v>
      </c>
      <c r="Q46" s="208">
        <v>44614</v>
      </c>
      <c r="R46" s="209">
        <f t="shared" si="18"/>
        <v>1043</v>
      </c>
      <c r="S46" s="223">
        <f t="shared" si="3"/>
        <v>0.2</v>
      </c>
      <c r="T46" s="167">
        <f t="shared" si="7"/>
        <v>0.60000000000000009</v>
      </c>
      <c r="U46" s="179" t="str">
        <f t="shared" si="8"/>
        <v>Incluir en ciclos posteriores de auditoría</v>
      </c>
    </row>
    <row r="47" spans="2:21" ht="43.5" customHeight="1" thickBot="1" x14ac:dyDescent="0.35">
      <c r="B47" s="282" t="s">
        <v>503</v>
      </c>
      <c r="C47" s="216">
        <f>+'ANALISIS OCI'!X45</f>
        <v>0</v>
      </c>
      <c r="D47" s="217">
        <f>+'ANALISIS OCI'!Y45</f>
        <v>1</v>
      </c>
      <c r="E47" s="217">
        <f>+'ANALISIS OCI'!Z45</f>
        <v>1</v>
      </c>
      <c r="F47" s="217">
        <f>+'ANALISIS OCI'!AA45</f>
        <v>3</v>
      </c>
      <c r="G47" s="218">
        <f t="shared" si="11"/>
        <v>5</v>
      </c>
      <c r="H47" s="206" t="str">
        <f t="shared" si="12"/>
        <v>Moderado</v>
      </c>
      <c r="I47" s="207">
        <f t="shared" si="13"/>
        <v>0.15</v>
      </c>
      <c r="J47" s="203" t="str">
        <f>'ANALISIS OCI'!AC45</f>
        <v>Moderado</v>
      </c>
      <c r="K47" s="204">
        <f t="shared" si="14"/>
        <v>0.15</v>
      </c>
      <c r="L47" s="205">
        <f t="shared" si="15"/>
        <v>0.15</v>
      </c>
      <c r="M47" s="219"/>
      <c r="N47" s="220">
        <f t="shared" si="16"/>
        <v>0</v>
      </c>
      <c r="O47" s="221"/>
      <c r="P47" s="222">
        <f t="shared" si="17"/>
        <v>0</v>
      </c>
      <c r="Q47" s="208">
        <v>44864</v>
      </c>
      <c r="R47" s="209">
        <f t="shared" si="18"/>
        <v>793</v>
      </c>
      <c r="S47" s="223">
        <f t="shared" si="3"/>
        <v>0.2</v>
      </c>
      <c r="T47" s="167">
        <f t="shared" si="7"/>
        <v>0.35</v>
      </c>
      <c r="U47" s="179" t="str">
        <f t="shared" si="8"/>
        <v>Incluir en ciclos posteriores de auditoría</v>
      </c>
    </row>
    <row r="48" spans="2:21" ht="63" customHeight="1" thickBot="1" x14ac:dyDescent="0.35">
      <c r="B48" s="282" t="s">
        <v>504</v>
      </c>
      <c r="C48" s="216">
        <f>+'ANALISIS OCI'!X46</f>
        <v>0</v>
      </c>
      <c r="D48" s="217">
        <f>+'ANALISIS OCI'!Y46</f>
        <v>1</v>
      </c>
      <c r="E48" s="217">
        <f>+'ANALISIS OCI'!Z46</f>
        <v>2</v>
      </c>
      <c r="F48" s="217">
        <f>+'ANALISIS OCI'!AA46</f>
        <v>2</v>
      </c>
      <c r="G48" s="218">
        <f t="shared" si="11"/>
        <v>5</v>
      </c>
      <c r="H48" s="206" t="str">
        <f t="shared" si="12"/>
        <v>Moderado</v>
      </c>
      <c r="I48" s="207">
        <f t="shared" si="13"/>
        <v>0.15</v>
      </c>
      <c r="J48" s="203" t="str">
        <f>'ANALISIS OCI'!AC46</f>
        <v>Moderado</v>
      </c>
      <c r="K48" s="204">
        <f t="shared" si="14"/>
        <v>0.15</v>
      </c>
      <c r="L48" s="205">
        <f t="shared" si="15"/>
        <v>0.15</v>
      </c>
      <c r="M48" s="219"/>
      <c r="N48" s="220">
        <f t="shared" si="16"/>
        <v>0</v>
      </c>
      <c r="O48" s="221"/>
      <c r="P48" s="222">
        <f t="shared" si="17"/>
        <v>0</v>
      </c>
      <c r="Q48" s="208">
        <v>44651</v>
      </c>
      <c r="R48" s="209">
        <f t="shared" si="18"/>
        <v>1006</v>
      </c>
      <c r="S48" s="223">
        <f t="shared" ref="S48:S92" si="19">IF(R48&gt;=1080,30%,IF(R48&gt;=720,20%,IF(R48&gt;=360,10%,IF(R48&lt;=359,0%,0))))</f>
        <v>0.2</v>
      </c>
      <c r="T48" s="167">
        <f t="shared" ref="T48:T92" si="20">IF(N48=100%,100%,(L48+P48+S48))</f>
        <v>0.35</v>
      </c>
      <c r="U48" s="179" t="str">
        <f t="shared" si="8"/>
        <v>Incluir en ciclos posteriores de auditoría</v>
      </c>
    </row>
    <row r="49" spans="2:21" ht="63" customHeight="1" thickBot="1" x14ac:dyDescent="0.35">
      <c r="B49" s="282" t="s">
        <v>505</v>
      </c>
      <c r="C49" s="216">
        <f>+'ANALISIS OCI'!X47</f>
        <v>0</v>
      </c>
      <c r="D49" s="217">
        <f>+'ANALISIS OCI'!Y47</f>
        <v>0</v>
      </c>
      <c r="E49" s="217">
        <f>+'ANALISIS OCI'!Z47</f>
        <v>2</v>
      </c>
      <c r="F49" s="217">
        <f>+'ANALISIS OCI'!AA47</f>
        <v>2</v>
      </c>
      <c r="G49" s="218">
        <f t="shared" si="11"/>
        <v>4</v>
      </c>
      <c r="H49" s="206" t="str">
        <f t="shared" si="12"/>
        <v>Moderado</v>
      </c>
      <c r="I49" s="207">
        <f t="shared" si="13"/>
        <v>0.15</v>
      </c>
      <c r="J49" s="203" t="str">
        <f>'ANALISIS OCI'!AC47</f>
        <v>Moderado</v>
      </c>
      <c r="K49" s="204">
        <f t="shared" si="14"/>
        <v>0.15</v>
      </c>
      <c r="L49" s="205">
        <f t="shared" si="15"/>
        <v>0.15</v>
      </c>
      <c r="M49" s="219"/>
      <c r="N49" s="220">
        <f t="shared" si="16"/>
        <v>0</v>
      </c>
      <c r="O49" s="221"/>
      <c r="P49" s="222">
        <f t="shared" si="17"/>
        <v>0</v>
      </c>
      <c r="Q49" s="208">
        <v>44428</v>
      </c>
      <c r="R49" s="209">
        <f t="shared" si="18"/>
        <v>1229</v>
      </c>
      <c r="S49" s="223">
        <f t="shared" si="19"/>
        <v>0.3</v>
      </c>
      <c r="T49" s="167">
        <f t="shared" si="20"/>
        <v>0.44999999999999996</v>
      </c>
      <c r="U49" s="179" t="str">
        <f t="shared" si="8"/>
        <v>Incluir en ciclos posteriores de auditoría</v>
      </c>
    </row>
    <row r="50" spans="2:21" ht="63" customHeight="1" thickBot="1" x14ac:dyDescent="0.35">
      <c r="B50" s="296" t="s">
        <v>506</v>
      </c>
      <c r="C50" s="297">
        <f>+'ANALISIS OCI'!X48</f>
        <v>0</v>
      </c>
      <c r="D50" s="298">
        <f>+'ANALISIS OCI'!Y48</f>
        <v>1</v>
      </c>
      <c r="E50" s="298">
        <f>+'ANALISIS OCI'!Z48</f>
        <v>1</v>
      </c>
      <c r="F50" s="298">
        <f>+'ANALISIS OCI'!AA48</f>
        <v>1</v>
      </c>
      <c r="G50" s="299">
        <f t="shared" si="11"/>
        <v>3</v>
      </c>
      <c r="H50" s="206" t="str">
        <f t="shared" si="12"/>
        <v>Alto</v>
      </c>
      <c r="I50" s="207">
        <f t="shared" si="13"/>
        <v>0.4</v>
      </c>
      <c r="J50" s="203" t="str">
        <f>'ANALISIS OCI'!AC48</f>
        <v>Alto</v>
      </c>
      <c r="K50" s="204">
        <f t="shared" si="14"/>
        <v>0.4</v>
      </c>
      <c r="L50" s="205">
        <f t="shared" si="15"/>
        <v>0.4</v>
      </c>
      <c r="M50" s="219"/>
      <c r="N50" s="220">
        <f t="shared" si="16"/>
        <v>0</v>
      </c>
      <c r="O50" s="221"/>
      <c r="P50" s="222">
        <f t="shared" si="17"/>
        <v>0</v>
      </c>
      <c r="Q50" s="208">
        <v>44502</v>
      </c>
      <c r="R50" s="209">
        <f t="shared" si="18"/>
        <v>1155</v>
      </c>
      <c r="S50" s="223">
        <f t="shared" si="19"/>
        <v>0.3</v>
      </c>
      <c r="T50" s="167">
        <f t="shared" si="20"/>
        <v>0.7</v>
      </c>
      <c r="U50" s="179" t="str">
        <f t="shared" si="8"/>
        <v xml:space="preserve">Incluir en el ciclo vigente de acuerdo a disponibilidad de recursos </v>
      </c>
    </row>
    <row r="51" spans="2:21" ht="63" customHeight="1" thickBot="1" x14ac:dyDescent="0.35">
      <c r="B51" s="296" t="s">
        <v>507</v>
      </c>
      <c r="C51" s="297">
        <f>+'ANALISIS OCI'!X49</f>
        <v>0</v>
      </c>
      <c r="D51" s="298">
        <f>+'ANALISIS OCI'!Y49</f>
        <v>2</v>
      </c>
      <c r="E51" s="298">
        <f>+'ANALISIS OCI'!Z49</f>
        <v>2</v>
      </c>
      <c r="F51" s="298">
        <f>+'ANALISIS OCI'!AA49</f>
        <v>2</v>
      </c>
      <c r="G51" s="299">
        <f t="shared" si="11"/>
        <v>6</v>
      </c>
      <c r="H51" s="206" t="str">
        <f t="shared" si="12"/>
        <v>Alto</v>
      </c>
      <c r="I51" s="207">
        <f t="shared" si="13"/>
        <v>0.4</v>
      </c>
      <c r="J51" s="203" t="str">
        <f>'ANALISIS OCI'!AC49</f>
        <v>Alto</v>
      </c>
      <c r="K51" s="204">
        <f t="shared" si="14"/>
        <v>0.4</v>
      </c>
      <c r="L51" s="205">
        <f t="shared" si="15"/>
        <v>0.4</v>
      </c>
      <c r="M51" s="219"/>
      <c r="N51" s="220">
        <f t="shared" si="16"/>
        <v>0</v>
      </c>
      <c r="O51" s="221"/>
      <c r="P51" s="222">
        <f t="shared" si="17"/>
        <v>0</v>
      </c>
      <c r="Q51" s="208">
        <v>44523</v>
      </c>
      <c r="R51" s="209">
        <f t="shared" si="18"/>
        <v>1134</v>
      </c>
      <c r="S51" s="223">
        <f t="shared" si="19"/>
        <v>0.3</v>
      </c>
      <c r="T51" s="167">
        <f t="shared" si="20"/>
        <v>0.7</v>
      </c>
      <c r="U51" s="179" t="str">
        <f t="shared" si="8"/>
        <v xml:space="preserve">Incluir en el ciclo vigente de acuerdo a disponibilidad de recursos </v>
      </c>
    </row>
    <row r="52" spans="2:21" ht="63" customHeight="1" thickBot="1" x14ac:dyDescent="0.35">
      <c r="B52" s="282" t="s">
        <v>508</v>
      </c>
      <c r="C52" s="216">
        <f>+'ANALISIS OCI'!X50</f>
        <v>0</v>
      </c>
      <c r="D52" s="217">
        <f>+'ANALISIS OCI'!Y50</f>
        <v>1</v>
      </c>
      <c r="E52" s="217">
        <f>+'ANALISIS OCI'!Z50</f>
        <v>1</v>
      </c>
      <c r="F52" s="217">
        <f>+'ANALISIS OCI'!AA50</f>
        <v>3</v>
      </c>
      <c r="G52" s="218">
        <f t="shared" si="11"/>
        <v>5</v>
      </c>
      <c r="H52" s="206" t="str">
        <f t="shared" si="12"/>
        <v>Moderado</v>
      </c>
      <c r="I52" s="207">
        <f t="shared" si="13"/>
        <v>0.15</v>
      </c>
      <c r="J52" s="203" t="str">
        <f>'ANALISIS OCI'!AC50</f>
        <v>Moderado</v>
      </c>
      <c r="K52" s="204">
        <f t="shared" si="14"/>
        <v>0.15</v>
      </c>
      <c r="L52" s="205">
        <f t="shared" si="15"/>
        <v>0.15</v>
      </c>
      <c r="M52" s="219"/>
      <c r="N52" s="220">
        <f t="shared" si="16"/>
        <v>0</v>
      </c>
      <c r="O52" s="221"/>
      <c r="P52" s="222">
        <f t="shared" si="17"/>
        <v>0</v>
      </c>
      <c r="Q52" s="208">
        <v>44553</v>
      </c>
      <c r="R52" s="209">
        <f t="shared" si="18"/>
        <v>1104</v>
      </c>
      <c r="S52" s="223">
        <f t="shared" si="19"/>
        <v>0.3</v>
      </c>
      <c r="T52" s="167">
        <f t="shared" si="20"/>
        <v>0.44999999999999996</v>
      </c>
      <c r="U52" s="179" t="str">
        <f t="shared" si="8"/>
        <v>Incluir en ciclos posteriores de auditoría</v>
      </c>
    </row>
    <row r="53" spans="2:21" ht="63" customHeight="1" thickBot="1" x14ac:dyDescent="0.35">
      <c r="B53" s="282" t="s">
        <v>509</v>
      </c>
      <c r="C53" s="216">
        <f>+'ANALISIS OCI'!X51</f>
        <v>0</v>
      </c>
      <c r="D53" s="217">
        <f>+'ANALISIS OCI'!Y51</f>
        <v>1</v>
      </c>
      <c r="E53" s="217">
        <f>+'ANALISIS OCI'!Z51</f>
        <v>2</v>
      </c>
      <c r="F53" s="217">
        <f>+'ANALISIS OCI'!AA51</f>
        <v>2</v>
      </c>
      <c r="G53" s="218">
        <f t="shared" ref="G53:G54" si="21">SUM(C53:F53)</f>
        <v>5</v>
      </c>
      <c r="H53" s="206" t="str">
        <f t="shared" si="12"/>
        <v>Moderado</v>
      </c>
      <c r="I53" s="207">
        <f t="shared" si="13"/>
        <v>0.15</v>
      </c>
      <c r="J53" s="203" t="str">
        <f>'ANALISIS OCI'!AC51</f>
        <v>Moderado</v>
      </c>
      <c r="K53" s="204">
        <f t="shared" si="14"/>
        <v>0.15</v>
      </c>
      <c r="L53" s="205">
        <f t="shared" si="15"/>
        <v>0.15</v>
      </c>
      <c r="M53" s="219"/>
      <c r="N53" s="220">
        <f t="shared" si="16"/>
        <v>0</v>
      </c>
      <c r="O53" s="221"/>
      <c r="P53" s="222">
        <f t="shared" si="17"/>
        <v>0</v>
      </c>
      <c r="Q53" s="208">
        <v>44553</v>
      </c>
      <c r="R53" s="209">
        <f t="shared" si="18"/>
        <v>1104</v>
      </c>
      <c r="S53" s="223">
        <f t="shared" si="19"/>
        <v>0.3</v>
      </c>
      <c r="T53" s="167">
        <f t="shared" si="20"/>
        <v>0.44999999999999996</v>
      </c>
      <c r="U53" s="179" t="str">
        <f t="shared" si="8"/>
        <v>Incluir en ciclos posteriores de auditoría</v>
      </c>
    </row>
    <row r="54" spans="2:21" ht="63" customHeight="1" thickBot="1" x14ac:dyDescent="0.35">
      <c r="B54" s="282" t="s">
        <v>510</v>
      </c>
      <c r="C54" s="216">
        <f>+'ANALISIS OCI'!X52</f>
        <v>0</v>
      </c>
      <c r="D54" s="217">
        <f>+'ANALISIS OCI'!Y52</f>
        <v>0</v>
      </c>
      <c r="E54" s="217">
        <f>+'ANALISIS OCI'!Z52</f>
        <v>2</v>
      </c>
      <c r="F54" s="217">
        <f>+'ANALISIS OCI'!AA52</f>
        <v>2</v>
      </c>
      <c r="G54" s="218">
        <f t="shared" si="21"/>
        <v>4</v>
      </c>
      <c r="H54" s="206" t="str">
        <f t="shared" si="12"/>
        <v>Moderado</v>
      </c>
      <c r="I54" s="207">
        <f t="shared" si="13"/>
        <v>0.15</v>
      </c>
      <c r="J54" s="203" t="str">
        <f>'ANALISIS OCI'!AC52</f>
        <v>Moderado</v>
      </c>
      <c r="K54" s="204">
        <f t="shared" si="14"/>
        <v>0.15</v>
      </c>
      <c r="L54" s="205">
        <f t="shared" si="15"/>
        <v>0.15</v>
      </c>
      <c r="M54" s="219"/>
      <c r="N54" s="220">
        <f t="shared" si="16"/>
        <v>0</v>
      </c>
      <c r="O54" s="221"/>
      <c r="P54" s="222">
        <f t="shared" si="17"/>
        <v>0</v>
      </c>
      <c r="Q54" s="208">
        <v>44484</v>
      </c>
      <c r="R54" s="209">
        <f t="shared" si="18"/>
        <v>1173</v>
      </c>
      <c r="S54" s="223">
        <f t="shared" si="19"/>
        <v>0.3</v>
      </c>
      <c r="T54" s="167">
        <f t="shared" si="20"/>
        <v>0.44999999999999996</v>
      </c>
      <c r="U54" s="179" t="str">
        <f t="shared" si="8"/>
        <v>Incluir en ciclos posteriores de auditoría</v>
      </c>
    </row>
    <row r="55" spans="2:21" ht="63" customHeight="1" thickBot="1" x14ac:dyDescent="0.35">
      <c r="B55" s="224" t="s">
        <v>291</v>
      </c>
      <c r="C55" s="216">
        <f>+'ANALISIS OCI'!X53</f>
        <v>0</v>
      </c>
      <c r="D55" s="217">
        <f>+'ANALISIS OCI'!Y53</f>
        <v>0</v>
      </c>
      <c r="E55" s="217">
        <f>+'ANALISIS OCI'!Z53</f>
        <v>0</v>
      </c>
      <c r="F55" s="217">
        <f>+'ANALISIS OCI'!AA53</f>
        <v>0</v>
      </c>
      <c r="G55" s="218">
        <f t="shared" ref="G55:G92" si="22">SUM(C55:F55)</f>
        <v>0</v>
      </c>
      <c r="H55" s="206">
        <f t="shared" ref="H55:H92" si="23">IF(G55=0,0,IF(($C55/$G55)&gt;=0.2,"Extremo",+IF((($C55/G55)+($D55/$G55))&gt;=0.3,"Alto",+IF((($C55/$G55)+($D55/$G55)+($E55/$G55))&gt;=0.4,"Moderado",+IF(($C55/$G55)+($D55/$G55)+($E55/$G55)+($F55/$G55)&gt;=0.5,"Bajo",IF(G55=0,0))))))</f>
        <v>0</v>
      </c>
      <c r="I55" s="207">
        <f t="shared" ref="I55:I92" si="24">(IF(H55="Extremo",50%,(IF(H55="Alto",40%,IF(H55="Moderado",15%,IF(H55="Bajo",10%,0))))))</f>
        <v>0</v>
      </c>
      <c r="J55" s="203" t="e">
        <f>'ANALISIS OCI'!AC53</f>
        <v>#DIV/0!</v>
      </c>
      <c r="K55" s="204" t="e">
        <f t="shared" si="9"/>
        <v>#DIV/0!</v>
      </c>
      <c r="L55" s="205" t="e">
        <f t="shared" si="6"/>
        <v>#DIV/0!</v>
      </c>
      <c r="M55" s="219"/>
      <c r="N55" s="220">
        <f t="shared" ref="N55:N92" si="25">IF(M55="Si",100%,IF(M55="No",0,0))</f>
        <v>0</v>
      </c>
      <c r="O55" s="221"/>
      <c r="P55" s="222">
        <f t="shared" ref="P55:P92" si="26">IF(O55="Si",20%,IF(O55="No",0,0))</f>
        <v>0</v>
      </c>
      <c r="Q55" s="208"/>
      <c r="R55" s="209">
        <f t="shared" ref="R55:R92" si="27">+$C$6-Q55</f>
        <v>45657</v>
      </c>
      <c r="S55" s="223">
        <f t="shared" si="19"/>
        <v>0.3</v>
      </c>
      <c r="T55" s="167" t="e">
        <f t="shared" si="20"/>
        <v>#DIV/0!</v>
      </c>
      <c r="U55" s="179" t="e">
        <f t="shared" si="8"/>
        <v>#DIV/0!</v>
      </c>
    </row>
    <row r="56" spans="2:21" ht="63" customHeight="1" thickBot="1" x14ac:dyDescent="0.35">
      <c r="B56" s="224" t="s">
        <v>292</v>
      </c>
      <c r="C56" s="216">
        <f>+'ANALISIS OCI'!X54</f>
        <v>0</v>
      </c>
      <c r="D56" s="217">
        <f>+'ANALISIS OCI'!Y54</f>
        <v>0</v>
      </c>
      <c r="E56" s="217">
        <f>+'ANALISIS OCI'!Z54</f>
        <v>0</v>
      </c>
      <c r="F56" s="217">
        <f>+'ANALISIS OCI'!AA54</f>
        <v>0</v>
      </c>
      <c r="G56" s="218">
        <f t="shared" si="22"/>
        <v>0</v>
      </c>
      <c r="H56" s="206">
        <f t="shared" si="23"/>
        <v>0</v>
      </c>
      <c r="I56" s="207">
        <f t="shared" si="24"/>
        <v>0</v>
      </c>
      <c r="J56" s="203" t="e">
        <f>'ANALISIS OCI'!AC54</f>
        <v>#DIV/0!</v>
      </c>
      <c r="K56" s="204" t="e">
        <f t="shared" si="9"/>
        <v>#DIV/0!</v>
      </c>
      <c r="L56" s="205" t="e">
        <f t="shared" si="6"/>
        <v>#DIV/0!</v>
      </c>
      <c r="M56" s="219"/>
      <c r="N56" s="220">
        <f t="shared" si="25"/>
        <v>0</v>
      </c>
      <c r="O56" s="221"/>
      <c r="P56" s="222">
        <f t="shared" si="26"/>
        <v>0</v>
      </c>
      <c r="Q56" s="208"/>
      <c r="R56" s="209">
        <f t="shared" si="27"/>
        <v>45657</v>
      </c>
      <c r="S56" s="223">
        <f t="shared" si="19"/>
        <v>0.3</v>
      </c>
      <c r="T56" s="167" t="e">
        <f t="shared" si="20"/>
        <v>#DIV/0!</v>
      </c>
      <c r="U56" s="179" t="e">
        <f t="shared" si="8"/>
        <v>#DIV/0!</v>
      </c>
    </row>
    <row r="57" spans="2:21" ht="63" customHeight="1" thickBot="1" x14ac:dyDescent="0.35">
      <c r="B57" s="224" t="s">
        <v>293</v>
      </c>
      <c r="C57" s="216">
        <f>+'ANALISIS OCI'!X55</f>
        <v>0</v>
      </c>
      <c r="D57" s="217">
        <f>+'ANALISIS OCI'!Y55</f>
        <v>0</v>
      </c>
      <c r="E57" s="217">
        <f>+'ANALISIS OCI'!Z55</f>
        <v>0</v>
      </c>
      <c r="F57" s="217">
        <f>+'ANALISIS OCI'!AA55</f>
        <v>0</v>
      </c>
      <c r="G57" s="218">
        <f t="shared" si="22"/>
        <v>0</v>
      </c>
      <c r="H57" s="206">
        <f t="shared" si="23"/>
        <v>0</v>
      </c>
      <c r="I57" s="207">
        <f t="shared" si="24"/>
        <v>0</v>
      </c>
      <c r="J57" s="203" t="e">
        <f>'ANALISIS OCI'!AC55</f>
        <v>#DIV/0!</v>
      </c>
      <c r="K57" s="204" t="e">
        <f t="shared" si="9"/>
        <v>#DIV/0!</v>
      </c>
      <c r="L57" s="205" t="e">
        <f t="shared" si="6"/>
        <v>#DIV/0!</v>
      </c>
      <c r="M57" s="219"/>
      <c r="N57" s="220">
        <f t="shared" si="25"/>
        <v>0</v>
      </c>
      <c r="O57" s="221"/>
      <c r="P57" s="222">
        <f t="shared" si="26"/>
        <v>0</v>
      </c>
      <c r="Q57" s="208"/>
      <c r="R57" s="209">
        <f t="shared" si="27"/>
        <v>45657</v>
      </c>
      <c r="S57" s="223">
        <f t="shared" si="19"/>
        <v>0.3</v>
      </c>
      <c r="T57" s="167" t="e">
        <f t="shared" si="20"/>
        <v>#DIV/0!</v>
      </c>
      <c r="U57" s="179" t="e">
        <f t="shared" si="8"/>
        <v>#DIV/0!</v>
      </c>
    </row>
    <row r="58" spans="2:21" ht="63" customHeight="1" thickBot="1" x14ac:dyDescent="0.35">
      <c r="B58" s="224" t="s">
        <v>294</v>
      </c>
      <c r="C58" s="216">
        <f>+'ANALISIS OCI'!X56</f>
        <v>0</v>
      </c>
      <c r="D58" s="217">
        <f>+'ANALISIS OCI'!Y56</f>
        <v>0</v>
      </c>
      <c r="E58" s="217">
        <f>+'ANALISIS OCI'!Z56</f>
        <v>0</v>
      </c>
      <c r="F58" s="217">
        <f>+'ANALISIS OCI'!AA56</f>
        <v>0</v>
      </c>
      <c r="G58" s="218">
        <f t="shared" si="22"/>
        <v>0</v>
      </c>
      <c r="H58" s="206">
        <f t="shared" si="23"/>
        <v>0</v>
      </c>
      <c r="I58" s="207">
        <f t="shared" si="24"/>
        <v>0</v>
      </c>
      <c r="J58" s="203" t="e">
        <f>'ANALISIS OCI'!AC56</f>
        <v>#DIV/0!</v>
      </c>
      <c r="K58" s="204" t="e">
        <f t="shared" si="9"/>
        <v>#DIV/0!</v>
      </c>
      <c r="L58" s="205" t="e">
        <f t="shared" si="6"/>
        <v>#DIV/0!</v>
      </c>
      <c r="M58" s="219"/>
      <c r="N58" s="220">
        <f t="shared" si="25"/>
        <v>0</v>
      </c>
      <c r="O58" s="221"/>
      <c r="P58" s="222">
        <f t="shared" si="26"/>
        <v>0</v>
      </c>
      <c r="Q58" s="208"/>
      <c r="R58" s="209">
        <f t="shared" si="27"/>
        <v>45657</v>
      </c>
      <c r="S58" s="223">
        <f t="shared" si="19"/>
        <v>0.3</v>
      </c>
      <c r="T58" s="167" t="e">
        <f t="shared" si="20"/>
        <v>#DIV/0!</v>
      </c>
      <c r="U58" s="179" t="e">
        <f t="shared" si="8"/>
        <v>#DIV/0!</v>
      </c>
    </row>
    <row r="59" spans="2:21" ht="63" customHeight="1" thickBot="1" x14ac:dyDescent="0.35">
      <c r="B59" s="224" t="s">
        <v>295</v>
      </c>
      <c r="C59" s="216">
        <f>+'ANALISIS OCI'!X57</f>
        <v>0</v>
      </c>
      <c r="D59" s="217">
        <f>+'ANALISIS OCI'!Y57</f>
        <v>0</v>
      </c>
      <c r="E59" s="217">
        <f>+'ANALISIS OCI'!Z57</f>
        <v>0</v>
      </c>
      <c r="F59" s="217">
        <f>+'ANALISIS OCI'!AA57</f>
        <v>0</v>
      </c>
      <c r="G59" s="218">
        <f t="shared" si="22"/>
        <v>0</v>
      </c>
      <c r="H59" s="206">
        <f t="shared" si="23"/>
        <v>0</v>
      </c>
      <c r="I59" s="207">
        <f t="shared" si="24"/>
        <v>0</v>
      </c>
      <c r="J59" s="203" t="e">
        <f>'ANALISIS OCI'!AC57</f>
        <v>#DIV/0!</v>
      </c>
      <c r="K59" s="204" t="e">
        <f t="shared" si="9"/>
        <v>#DIV/0!</v>
      </c>
      <c r="L59" s="205" t="e">
        <f t="shared" si="6"/>
        <v>#DIV/0!</v>
      </c>
      <c r="M59" s="219"/>
      <c r="N59" s="220">
        <f t="shared" si="25"/>
        <v>0</v>
      </c>
      <c r="O59" s="221"/>
      <c r="P59" s="222">
        <f t="shared" si="26"/>
        <v>0</v>
      </c>
      <c r="Q59" s="208"/>
      <c r="R59" s="209">
        <f t="shared" si="27"/>
        <v>45657</v>
      </c>
      <c r="S59" s="223">
        <f t="shared" si="19"/>
        <v>0.3</v>
      </c>
      <c r="T59" s="167" t="e">
        <f t="shared" si="20"/>
        <v>#DIV/0!</v>
      </c>
      <c r="U59" s="179" t="e">
        <f t="shared" si="8"/>
        <v>#DIV/0!</v>
      </c>
    </row>
    <row r="60" spans="2:21" ht="63" customHeight="1" thickBot="1" x14ac:dyDescent="0.35">
      <c r="B60" s="224" t="s">
        <v>296</v>
      </c>
      <c r="C60" s="216">
        <f>+'ANALISIS OCI'!X58</f>
        <v>0</v>
      </c>
      <c r="D60" s="217">
        <f>+'ANALISIS OCI'!Y58</f>
        <v>0</v>
      </c>
      <c r="E60" s="217">
        <f>+'ANALISIS OCI'!Z58</f>
        <v>0</v>
      </c>
      <c r="F60" s="217">
        <f>+'ANALISIS OCI'!AA58</f>
        <v>0</v>
      </c>
      <c r="G60" s="218">
        <f t="shared" si="22"/>
        <v>0</v>
      </c>
      <c r="H60" s="206">
        <f t="shared" si="23"/>
        <v>0</v>
      </c>
      <c r="I60" s="207">
        <f t="shared" si="24"/>
        <v>0</v>
      </c>
      <c r="J60" s="203" t="e">
        <f>'ANALISIS OCI'!AC58</f>
        <v>#DIV/0!</v>
      </c>
      <c r="K60" s="204" t="e">
        <f t="shared" si="9"/>
        <v>#DIV/0!</v>
      </c>
      <c r="L60" s="205" t="e">
        <f t="shared" si="6"/>
        <v>#DIV/0!</v>
      </c>
      <c r="M60" s="219"/>
      <c r="N60" s="220">
        <f t="shared" si="25"/>
        <v>0</v>
      </c>
      <c r="O60" s="221"/>
      <c r="P60" s="222">
        <f t="shared" si="26"/>
        <v>0</v>
      </c>
      <c r="Q60" s="208"/>
      <c r="R60" s="209">
        <f t="shared" si="27"/>
        <v>45657</v>
      </c>
      <c r="S60" s="223">
        <f t="shared" si="19"/>
        <v>0.3</v>
      </c>
      <c r="T60" s="167" t="e">
        <f t="shared" si="20"/>
        <v>#DIV/0!</v>
      </c>
      <c r="U60" s="179" t="e">
        <f t="shared" si="8"/>
        <v>#DIV/0!</v>
      </c>
    </row>
    <row r="61" spans="2:21" ht="63" customHeight="1" thickBot="1" x14ac:dyDescent="0.35">
      <c r="B61" s="224" t="s">
        <v>297</v>
      </c>
      <c r="C61" s="216">
        <f>+'ANALISIS OCI'!X59</f>
        <v>0</v>
      </c>
      <c r="D61" s="217">
        <f>+'ANALISIS OCI'!Y59</f>
        <v>0</v>
      </c>
      <c r="E61" s="217">
        <f>+'ANALISIS OCI'!Z59</f>
        <v>0</v>
      </c>
      <c r="F61" s="217">
        <f>+'ANALISIS OCI'!AA59</f>
        <v>0</v>
      </c>
      <c r="G61" s="218">
        <f t="shared" si="22"/>
        <v>0</v>
      </c>
      <c r="H61" s="206">
        <f t="shared" si="23"/>
        <v>0</v>
      </c>
      <c r="I61" s="207">
        <f t="shared" si="24"/>
        <v>0</v>
      </c>
      <c r="J61" s="203" t="e">
        <f>'ANALISIS OCI'!AC59</f>
        <v>#DIV/0!</v>
      </c>
      <c r="K61" s="204" t="e">
        <f t="shared" si="9"/>
        <v>#DIV/0!</v>
      </c>
      <c r="L61" s="205" t="e">
        <f t="shared" si="6"/>
        <v>#DIV/0!</v>
      </c>
      <c r="M61" s="219"/>
      <c r="N61" s="220">
        <f t="shared" si="25"/>
        <v>0</v>
      </c>
      <c r="O61" s="221"/>
      <c r="P61" s="222">
        <f t="shared" si="26"/>
        <v>0</v>
      </c>
      <c r="Q61" s="208"/>
      <c r="R61" s="209">
        <f t="shared" si="27"/>
        <v>45657</v>
      </c>
      <c r="S61" s="223">
        <f t="shared" si="19"/>
        <v>0.3</v>
      </c>
      <c r="T61" s="167" t="e">
        <f t="shared" si="20"/>
        <v>#DIV/0!</v>
      </c>
      <c r="U61" s="179" t="e">
        <f t="shared" si="8"/>
        <v>#DIV/0!</v>
      </c>
    </row>
    <row r="62" spans="2:21" ht="63" customHeight="1" thickBot="1" x14ac:dyDescent="0.35">
      <c r="B62" s="224" t="s">
        <v>298</v>
      </c>
      <c r="C62" s="216">
        <f>+'ANALISIS OCI'!X60</f>
        <v>0</v>
      </c>
      <c r="D62" s="217">
        <f>+'ANALISIS OCI'!Y60</f>
        <v>0</v>
      </c>
      <c r="E62" s="217">
        <f>+'ANALISIS OCI'!Z60</f>
        <v>0</v>
      </c>
      <c r="F62" s="217">
        <f>+'ANALISIS OCI'!AA60</f>
        <v>0</v>
      </c>
      <c r="G62" s="218">
        <f t="shared" si="22"/>
        <v>0</v>
      </c>
      <c r="H62" s="206">
        <f t="shared" si="23"/>
        <v>0</v>
      </c>
      <c r="I62" s="207">
        <f t="shared" si="24"/>
        <v>0</v>
      </c>
      <c r="J62" s="203" t="e">
        <f>'ANALISIS OCI'!AC60</f>
        <v>#DIV/0!</v>
      </c>
      <c r="K62" s="204" t="e">
        <f t="shared" si="9"/>
        <v>#DIV/0!</v>
      </c>
      <c r="L62" s="205" t="e">
        <f t="shared" si="6"/>
        <v>#DIV/0!</v>
      </c>
      <c r="M62" s="219"/>
      <c r="N62" s="220">
        <f t="shared" si="25"/>
        <v>0</v>
      </c>
      <c r="O62" s="221"/>
      <c r="P62" s="222">
        <f t="shared" si="26"/>
        <v>0</v>
      </c>
      <c r="Q62" s="208"/>
      <c r="R62" s="209">
        <f t="shared" si="27"/>
        <v>45657</v>
      </c>
      <c r="S62" s="223">
        <f t="shared" si="19"/>
        <v>0.3</v>
      </c>
      <c r="T62" s="167" t="e">
        <f t="shared" si="20"/>
        <v>#DIV/0!</v>
      </c>
      <c r="U62" s="179" t="e">
        <f t="shared" si="8"/>
        <v>#DIV/0!</v>
      </c>
    </row>
    <row r="63" spans="2:21" ht="63" customHeight="1" thickBot="1" x14ac:dyDescent="0.35">
      <c r="B63" s="224" t="s">
        <v>299</v>
      </c>
      <c r="C63" s="216">
        <f>+'ANALISIS OCI'!X61</f>
        <v>0</v>
      </c>
      <c r="D63" s="217">
        <f>+'ANALISIS OCI'!Y61</f>
        <v>0</v>
      </c>
      <c r="E63" s="217">
        <f>+'ANALISIS OCI'!Z61</f>
        <v>0</v>
      </c>
      <c r="F63" s="217">
        <f>+'ANALISIS OCI'!AA61</f>
        <v>0</v>
      </c>
      <c r="G63" s="218">
        <f t="shared" si="22"/>
        <v>0</v>
      </c>
      <c r="H63" s="206">
        <f t="shared" si="23"/>
        <v>0</v>
      </c>
      <c r="I63" s="207">
        <f t="shared" si="24"/>
        <v>0</v>
      </c>
      <c r="J63" s="203" t="e">
        <f>'ANALISIS OCI'!AC61</f>
        <v>#DIV/0!</v>
      </c>
      <c r="K63" s="204" t="e">
        <f t="shared" si="9"/>
        <v>#DIV/0!</v>
      </c>
      <c r="L63" s="205" t="e">
        <f t="shared" si="6"/>
        <v>#DIV/0!</v>
      </c>
      <c r="M63" s="219"/>
      <c r="N63" s="220">
        <f t="shared" si="25"/>
        <v>0</v>
      </c>
      <c r="O63" s="221"/>
      <c r="P63" s="222">
        <f t="shared" si="26"/>
        <v>0</v>
      </c>
      <c r="Q63" s="208"/>
      <c r="R63" s="209">
        <f t="shared" si="27"/>
        <v>45657</v>
      </c>
      <c r="S63" s="223">
        <f t="shared" si="19"/>
        <v>0.3</v>
      </c>
      <c r="T63" s="167" t="e">
        <f t="shared" si="20"/>
        <v>#DIV/0!</v>
      </c>
      <c r="U63" s="179" t="e">
        <f t="shared" si="8"/>
        <v>#DIV/0!</v>
      </c>
    </row>
    <row r="64" spans="2:21" ht="63" customHeight="1" thickBot="1" x14ac:dyDescent="0.35">
      <c r="B64" s="224" t="s">
        <v>300</v>
      </c>
      <c r="C64" s="216">
        <f>+'ANALISIS OCI'!X62</f>
        <v>0</v>
      </c>
      <c r="D64" s="217">
        <f>+'ANALISIS OCI'!Y62</f>
        <v>0</v>
      </c>
      <c r="E64" s="217">
        <f>+'ANALISIS OCI'!Z62</f>
        <v>0</v>
      </c>
      <c r="F64" s="217">
        <f>+'ANALISIS OCI'!AA62</f>
        <v>0</v>
      </c>
      <c r="G64" s="218">
        <f t="shared" si="22"/>
        <v>0</v>
      </c>
      <c r="H64" s="206">
        <f t="shared" si="23"/>
        <v>0</v>
      </c>
      <c r="I64" s="207">
        <f t="shared" si="24"/>
        <v>0</v>
      </c>
      <c r="J64" s="203" t="e">
        <f>'ANALISIS OCI'!AC62</f>
        <v>#DIV/0!</v>
      </c>
      <c r="K64" s="204" t="e">
        <f t="shared" si="9"/>
        <v>#DIV/0!</v>
      </c>
      <c r="L64" s="205" t="e">
        <f t="shared" si="6"/>
        <v>#DIV/0!</v>
      </c>
      <c r="M64" s="219"/>
      <c r="N64" s="220">
        <f t="shared" si="25"/>
        <v>0</v>
      </c>
      <c r="O64" s="221"/>
      <c r="P64" s="222">
        <f t="shared" si="26"/>
        <v>0</v>
      </c>
      <c r="Q64" s="208"/>
      <c r="R64" s="209">
        <f t="shared" si="27"/>
        <v>45657</v>
      </c>
      <c r="S64" s="223">
        <f t="shared" si="19"/>
        <v>0.3</v>
      </c>
      <c r="T64" s="167" t="e">
        <f t="shared" si="20"/>
        <v>#DIV/0!</v>
      </c>
      <c r="U64" s="179" t="e">
        <f t="shared" si="8"/>
        <v>#DIV/0!</v>
      </c>
    </row>
    <row r="65" spans="2:21" ht="63" customHeight="1" thickBot="1" x14ac:dyDescent="0.35">
      <c r="B65" s="224" t="s">
        <v>301</v>
      </c>
      <c r="C65" s="216">
        <f>+'ANALISIS OCI'!X63</f>
        <v>0</v>
      </c>
      <c r="D65" s="217">
        <f>+'ANALISIS OCI'!Y63</f>
        <v>0</v>
      </c>
      <c r="E65" s="217">
        <f>+'ANALISIS OCI'!Z63</f>
        <v>0</v>
      </c>
      <c r="F65" s="217">
        <f>+'ANALISIS OCI'!AA63</f>
        <v>0</v>
      </c>
      <c r="G65" s="218">
        <f t="shared" si="22"/>
        <v>0</v>
      </c>
      <c r="H65" s="206">
        <f t="shared" si="23"/>
        <v>0</v>
      </c>
      <c r="I65" s="207">
        <f t="shared" si="24"/>
        <v>0</v>
      </c>
      <c r="J65" s="203" t="e">
        <f>'ANALISIS OCI'!AC63</f>
        <v>#DIV/0!</v>
      </c>
      <c r="K65" s="204" t="e">
        <f t="shared" si="9"/>
        <v>#DIV/0!</v>
      </c>
      <c r="L65" s="205" t="e">
        <f t="shared" si="6"/>
        <v>#DIV/0!</v>
      </c>
      <c r="M65" s="219"/>
      <c r="N65" s="220">
        <f t="shared" si="25"/>
        <v>0</v>
      </c>
      <c r="O65" s="221"/>
      <c r="P65" s="222">
        <f t="shared" si="26"/>
        <v>0</v>
      </c>
      <c r="Q65" s="208"/>
      <c r="R65" s="209">
        <f t="shared" si="27"/>
        <v>45657</v>
      </c>
      <c r="S65" s="223">
        <f t="shared" si="19"/>
        <v>0.3</v>
      </c>
      <c r="T65" s="167" t="e">
        <f t="shared" si="20"/>
        <v>#DIV/0!</v>
      </c>
      <c r="U65" s="179" t="e">
        <f t="shared" si="8"/>
        <v>#DIV/0!</v>
      </c>
    </row>
    <row r="66" spans="2:21" ht="63" customHeight="1" thickBot="1" x14ac:dyDescent="0.35">
      <c r="B66" s="224" t="s">
        <v>302</v>
      </c>
      <c r="C66" s="216">
        <f>+'ANALISIS OCI'!X64</f>
        <v>0</v>
      </c>
      <c r="D66" s="217">
        <f>+'ANALISIS OCI'!Y64</f>
        <v>0</v>
      </c>
      <c r="E66" s="217">
        <f>+'ANALISIS OCI'!Z64</f>
        <v>0</v>
      </c>
      <c r="F66" s="217">
        <f>+'ANALISIS OCI'!AA64</f>
        <v>0</v>
      </c>
      <c r="G66" s="218">
        <f t="shared" si="22"/>
        <v>0</v>
      </c>
      <c r="H66" s="206">
        <f t="shared" si="23"/>
        <v>0</v>
      </c>
      <c r="I66" s="207">
        <f t="shared" si="24"/>
        <v>0</v>
      </c>
      <c r="J66" s="203" t="e">
        <f>'ANALISIS OCI'!AC64</f>
        <v>#DIV/0!</v>
      </c>
      <c r="K66" s="204" t="e">
        <f t="shared" si="9"/>
        <v>#DIV/0!</v>
      </c>
      <c r="L66" s="205" t="e">
        <f t="shared" si="6"/>
        <v>#DIV/0!</v>
      </c>
      <c r="M66" s="219"/>
      <c r="N66" s="220">
        <f t="shared" si="25"/>
        <v>0</v>
      </c>
      <c r="O66" s="221"/>
      <c r="P66" s="222">
        <f t="shared" si="26"/>
        <v>0</v>
      </c>
      <c r="Q66" s="208"/>
      <c r="R66" s="209">
        <f t="shared" si="27"/>
        <v>45657</v>
      </c>
      <c r="S66" s="223">
        <f t="shared" si="19"/>
        <v>0.3</v>
      </c>
      <c r="T66" s="167" t="e">
        <f t="shared" si="20"/>
        <v>#DIV/0!</v>
      </c>
      <c r="U66" s="179" t="e">
        <f t="shared" si="8"/>
        <v>#DIV/0!</v>
      </c>
    </row>
    <row r="67" spans="2:21" ht="63" customHeight="1" thickBot="1" x14ac:dyDescent="0.35">
      <c r="B67" s="224" t="s">
        <v>303</v>
      </c>
      <c r="C67" s="216">
        <f>+'ANALISIS OCI'!X65</f>
        <v>0</v>
      </c>
      <c r="D67" s="217">
        <f>+'ANALISIS OCI'!Y65</f>
        <v>0</v>
      </c>
      <c r="E67" s="217">
        <f>+'ANALISIS OCI'!Z65</f>
        <v>0</v>
      </c>
      <c r="F67" s="217">
        <f>+'ANALISIS OCI'!AA65</f>
        <v>0</v>
      </c>
      <c r="G67" s="218">
        <f t="shared" si="22"/>
        <v>0</v>
      </c>
      <c r="H67" s="206">
        <f t="shared" si="23"/>
        <v>0</v>
      </c>
      <c r="I67" s="207">
        <f t="shared" si="24"/>
        <v>0</v>
      </c>
      <c r="J67" s="203" t="e">
        <f>'ANALISIS OCI'!AC65</f>
        <v>#DIV/0!</v>
      </c>
      <c r="K67" s="204" t="e">
        <f t="shared" si="9"/>
        <v>#DIV/0!</v>
      </c>
      <c r="L67" s="205" t="e">
        <f t="shared" si="6"/>
        <v>#DIV/0!</v>
      </c>
      <c r="M67" s="219"/>
      <c r="N67" s="220">
        <f t="shared" si="25"/>
        <v>0</v>
      </c>
      <c r="O67" s="221"/>
      <c r="P67" s="222">
        <f t="shared" si="26"/>
        <v>0</v>
      </c>
      <c r="Q67" s="208"/>
      <c r="R67" s="209">
        <f t="shared" si="27"/>
        <v>45657</v>
      </c>
      <c r="S67" s="223">
        <f t="shared" si="19"/>
        <v>0.3</v>
      </c>
      <c r="T67" s="167" t="e">
        <f t="shared" si="20"/>
        <v>#DIV/0!</v>
      </c>
      <c r="U67" s="179" t="e">
        <f t="shared" si="8"/>
        <v>#DIV/0!</v>
      </c>
    </row>
    <row r="68" spans="2:21" ht="63" customHeight="1" thickBot="1" x14ac:dyDescent="0.35">
      <c r="B68" s="224" t="s">
        <v>304</v>
      </c>
      <c r="C68" s="216">
        <f>+'ANALISIS OCI'!X66</f>
        <v>0</v>
      </c>
      <c r="D68" s="217">
        <f>+'ANALISIS OCI'!Y66</f>
        <v>0</v>
      </c>
      <c r="E68" s="217">
        <f>+'ANALISIS OCI'!Z66</f>
        <v>0</v>
      </c>
      <c r="F68" s="217">
        <f>+'ANALISIS OCI'!AA66</f>
        <v>0</v>
      </c>
      <c r="G68" s="218">
        <f t="shared" si="22"/>
        <v>0</v>
      </c>
      <c r="H68" s="206">
        <f t="shared" si="23"/>
        <v>0</v>
      </c>
      <c r="I68" s="207">
        <f t="shared" si="24"/>
        <v>0</v>
      </c>
      <c r="J68" s="203" t="e">
        <f>'ANALISIS OCI'!AC66</f>
        <v>#DIV/0!</v>
      </c>
      <c r="K68" s="204" t="e">
        <f t="shared" si="9"/>
        <v>#DIV/0!</v>
      </c>
      <c r="L68" s="205" t="e">
        <f t="shared" si="6"/>
        <v>#DIV/0!</v>
      </c>
      <c r="M68" s="219"/>
      <c r="N68" s="220">
        <f t="shared" si="25"/>
        <v>0</v>
      </c>
      <c r="O68" s="221"/>
      <c r="P68" s="222">
        <f t="shared" si="26"/>
        <v>0</v>
      </c>
      <c r="Q68" s="208"/>
      <c r="R68" s="209">
        <f t="shared" si="27"/>
        <v>45657</v>
      </c>
      <c r="S68" s="223">
        <f t="shared" si="19"/>
        <v>0.3</v>
      </c>
      <c r="T68" s="167" t="e">
        <f t="shared" si="20"/>
        <v>#DIV/0!</v>
      </c>
      <c r="U68" s="179" t="e">
        <f t="shared" si="8"/>
        <v>#DIV/0!</v>
      </c>
    </row>
    <row r="69" spans="2:21" ht="63" customHeight="1" thickBot="1" x14ac:dyDescent="0.35">
      <c r="B69" s="224" t="s">
        <v>305</v>
      </c>
      <c r="C69" s="216">
        <f>+'ANALISIS OCI'!X67</f>
        <v>0</v>
      </c>
      <c r="D69" s="217">
        <f>+'ANALISIS OCI'!Y67</f>
        <v>0</v>
      </c>
      <c r="E69" s="217">
        <f>+'ANALISIS OCI'!Z67</f>
        <v>0</v>
      </c>
      <c r="F69" s="217">
        <f>+'ANALISIS OCI'!AA67</f>
        <v>0</v>
      </c>
      <c r="G69" s="218">
        <f t="shared" si="22"/>
        <v>0</v>
      </c>
      <c r="H69" s="206">
        <f t="shared" si="23"/>
        <v>0</v>
      </c>
      <c r="I69" s="207">
        <f t="shared" si="24"/>
        <v>0</v>
      </c>
      <c r="J69" s="203" t="e">
        <f>'ANALISIS OCI'!AC67</f>
        <v>#DIV/0!</v>
      </c>
      <c r="K69" s="204" t="e">
        <f t="shared" si="9"/>
        <v>#DIV/0!</v>
      </c>
      <c r="L69" s="205" t="e">
        <f t="shared" si="6"/>
        <v>#DIV/0!</v>
      </c>
      <c r="M69" s="219"/>
      <c r="N69" s="220">
        <f t="shared" si="25"/>
        <v>0</v>
      </c>
      <c r="O69" s="221"/>
      <c r="P69" s="222">
        <f t="shared" si="26"/>
        <v>0</v>
      </c>
      <c r="Q69" s="208"/>
      <c r="R69" s="209">
        <f t="shared" si="27"/>
        <v>45657</v>
      </c>
      <c r="S69" s="223">
        <f t="shared" si="19"/>
        <v>0.3</v>
      </c>
      <c r="T69" s="167" t="e">
        <f t="shared" si="20"/>
        <v>#DIV/0!</v>
      </c>
      <c r="U69" s="179" t="e">
        <f t="shared" si="8"/>
        <v>#DIV/0!</v>
      </c>
    </row>
    <row r="70" spans="2:21" ht="63" customHeight="1" thickBot="1" x14ac:dyDescent="0.35">
      <c r="B70" s="224" t="s">
        <v>306</v>
      </c>
      <c r="C70" s="216">
        <f>+'ANALISIS OCI'!X68</f>
        <v>0</v>
      </c>
      <c r="D70" s="217">
        <f>+'ANALISIS OCI'!Y68</f>
        <v>0</v>
      </c>
      <c r="E70" s="217">
        <f>+'ANALISIS OCI'!Z68</f>
        <v>0</v>
      </c>
      <c r="F70" s="217">
        <f>+'ANALISIS OCI'!AA68</f>
        <v>0</v>
      </c>
      <c r="G70" s="218">
        <f t="shared" si="22"/>
        <v>0</v>
      </c>
      <c r="H70" s="206">
        <f t="shared" si="23"/>
        <v>0</v>
      </c>
      <c r="I70" s="207">
        <f t="shared" si="24"/>
        <v>0</v>
      </c>
      <c r="J70" s="203" t="e">
        <f>'ANALISIS OCI'!AC68</f>
        <v>#DIV/0!</v>
      </c>
      <c r="K70" s="204" t="e">
        <f t="shared" si="9"/>
        <v>#DIV/0!</v>
      </c>
      <c r="L70" s="205" t="e">
        <f t="shared" si="6"/>
        <v>#DIV/0!</v>
      </c>
      <c r="M70" s="219"/>
      <c r="N70" s="220">
        <f t="shared" si="25"/>
        <v>0</v>
      </c>
      <c r="O70" s="221"/>
      <c r="P70" s="222">
        <f t="shared" si="26"/>
        <v>0</v>
      </c>
      <c r="Q70" s="208"/>
      <c r="R70" s="209">
        <f t="shared" si="27"/>
        <v>45657</v>
      </c>
      <c r="S70" s="223">
        <f t="shared" si="19"/>
        <v>0.3</v>
      </c>
      <c r="T70" s="167" t="e">
        <f t="shared" si="20"/>
        <v>#DIV/0!</v>
      </c>
      <c r="U70" s="179" t="e">
        <f t="shared" si="8"/>
        <v>#DIV/0!</v>
      </c>
    </row>
    <row r="71" spans="2:21" ht="63" customHeight="1" thickBot="1" x14ac:dyDescent="0.35">
      <c r="B71" s="224" t="s">
        <v>307</v>
      </c>
      <c r="C71" s="216">
        <f>+'ANALISIS OCI'!X69</f>
        <v>0</v>
      </c>
      <c r="D71" s="217">
        <f>+'ANALISIS OCI'!Y69</f>
        <v>0</v>
      </c>
      <c r="E71" s="217">
        <f>+'ANALISIS OCI'!Z69</f>
        <v>0</v>
      </c>
      <c r="F71" s="217">
        <f>+'ANALISIS OCI'!AA69</f>
        <v>0</v>
      </c>
      <c r="G71" s="218">
        <f t="shared" si="22"/>
        <v>0</v>
      </c>
      <c r="H71" s="206">
        <f t="shared" si="23"/>
        <v>0</v>
      </c>
      <c r="I71" s="207">
        <f t="shared" si="24"/>
        <v>0</v>
      </c>
      <c r="J71" s="203" t="e">
        <f>'ANALISIS OCI'!AC69</f>
        <v>#DIV/0!</v>
      </c>
      <c r="K71" s="204" t="e">
        <f t="shared" si="9"/>
        <v>#DIV/0!</v>
      </c>
      <c r="L71" s="205" t="e">
        <f t="shared" si="6"/>
        <v>#DIV/0!</v>
      </c>
      <c r="M71" s="219"/>
      <c r="N71" s="220">
        <f t="shared" si="25"/>
        <v>0</v>
      </c>
      <c r="O71" s="221"/>
      <c r="P71" s="222">
        <f t="shared" si="26"/>
        <v>0</v>
      </c>
      <c r="Q71" s="208"/>
      <c r="R71" s="209">
        <f t="shared" si="27"/>
        <v>45657</v>
      </c>
      <c r="S71" s="223">
        <f t="shared" si="19"/>
        <v>0.3</v>
      </c>
      <c r="T71" s="167" t="e">
        <f t="shared" si="20"/>
        <v>#DIV/0!</v>
      </c>
      <c r="U71" s="179" t="e">
        <f t="shared" si="8"/>
        <v>#DIV/0!</v>
      </c>
    </row>
    <row r="72" spans="2:21" ht="63" customHeight="1" thickBot="1" x14ac:dyDescent="0.35">
      <c r="B72" s="224" t="s">
        <v>308</v>
      </c>
      <c r="C72" s="216">
        <f>+'ANALISIS OCI'!X70</f>
        <v>0</v>
      </c>
      <c r="D72" s="217">
        <f>+'ANALISIS OCI'!Y70</f>
        <v>0</v>
      </c>
      <c r="E72" s="217">
        <f>+'ANALISIS OCI'!Z70</f>
        <v>0</v>
      </c>
      <c r="F72" s="217">
        <f>+'ANALISIS OCI'!AA70</f>
        <v>0</v>
      </c>
      <c r="G72" s="218">
        <f t="shared" si="22"/>
        <v>0</v>
      </c>
      <c r="H72" s="206">
        <f t="shared" si="23"/>
        <v>0</v>
      </c>
      <c r="I72" s="207">
        <f t="shared" si="24"/>
        <v>0</v>
      </c>
      <c r="J72" s="203" t="e">
        <f>'ANALISIS OCI'!AC70</f>
        <v>#DIV/0!</v>
      </c>
      <c r="K72" s="204" t="e">
        <f t="shared" si="9"/>
        <v>#DIV/0!</v>
      </c>
      <c r="L72" s="205" t="e">
        <f t="shared" si="6"/>
        <v>#DIV/0!</v>
      </c>
      <c r="M72" s="219"/>
      <c r="N72" s="220">
        <f t="shared" si="25"/>
        <v>0</v>
      </c>
      <c r="O72" s="221"/>
      <c r="P72" s="222">
        <f t="shared" si="26"/>
        <v>0</v>
      </c>
      <c r="Q72" s="208"/>
      <c r="R72" s="209">
        <f t="shared" si="27"/>
        <v>45657</v>
      </c>
      <c r="S72" s="223">
        <f t="shared" si="19"/>
        <v>0.3</v>
      </c>
      <c r="T72" s="167" t="e">
        <f t="shared" si="20"/>
        <v>#DIV/0!</v>
      </c>
      <c r="U72" s="179" t="e">
        <f t="shared" si="8"/>
        <v>#DIV/0!</v>
      </c>
    </row>
    <row r="73" spans="2:21" ht="63" customHeight="1" thickBot="1" x14ac:dyDescent="0.35">
      <c r="B73" s="224" t="s">
        <v>309</v>
      </c>
      <c r="C73" s="216">
        <f>+'ANALISIS OCI'!X71</f>
        <v>0</v>
      </c>
      <c r="D73" s="217">
        <f>+'ANALISIS OCI'!Y71</f>
        <v>0</v>
      </c>
      <c r="E73" s="217">
        <f>+'ANALISIS OCI'!Z71</f>
        <v>0</v>
      </c>
      <c r="F73" s="217">
        <f>+'ANALISIS OCI'!AA71</f>
        <v>0</v>
      </c>
      <c r="G73" s="218">
        <f t="shared" si="22"/>
        <v>0</v>
      </c>
      <c r="H73" s="206">
        <f t="shared" si="23"/>
        <v>0</v>
      </c>
      <c r="I73" s="207">
        <f t="shared" si="24"/>
        <v>0</v>
      </c>
      <c r="J73" s="203" t="e">
        <f>'ANALISIS OCI'!AC71</f>
        <v>#DIV/0!</v>
      </c>
      <c r="K73" s="204" t="e">
        <f t="shared" si="9"/>
        <v>#DIV/0!</v>
      </c>
      <c r="L73" s="205" t="e">
        <f t="shared" si="6"/>
        <v>#DIV/0!</v>
      </c>
      <c r="M73" s="219"/>
      <c r="N73" s="220">
        <f t="shared" si="25"/>
        <v>0</v>
      </c>
      <c r="O73" s="221"/>
      <c r="P73" s="222">
        <f t="shared" si="26"/>
        <v>0</v>
      </c>
      <c r="Q73" s="208"/>
      <c r="R73" s="209">
        <f t="shared" si="27"/>
        <v>45657</v>
      </c>
      <c r="S73" s="223">
        <f t="shared" si="19"/>
        <v>0.3</v>
      </c>
      <c r="T73" s="167" t="e">
        <f t="shared" si="20"/>
        <v>#DIV/0!</v>
      </c>
      <c r="U73" s="179" t="e">
        <f t="shared" si="8"/>
        <v>#DIV/0!</v>
      </c>
    </row>
    <row r="74" spans="2:21" ht="63" customHeight="1" thickBot="1" x14ac:dyDescent="0.35">
      <c r="B74" s="224" t="s">
        <v>310</v>
      </c>
      <c r="C74" s="216">
        <f>+'ANALISIS OCI'!X72</f>
        <v>0</v>
      </c>
      <c r="D74" s="217">
        <f>+'ANALISIS OCI'!Y72</f>
        <v>0</v>
      </c>
      <c r="E74" s="217">
        <f>+'ANALISIS OCI'!Z72</f>
        <v>0</v>
      </c>
      <c r="F74" s="217">
        <f>+'ANALISIS OCI'!AA72</f>
        <v>0</v>
      </c>
      <c r="G74" s="218">
        <f t="shared" si="22"/>
        <v>0</v>
      </c>
      <c r="H74" s="206">
        <f t="shared" si="23"/>
        <v>0</v>
      </c>
      <c r="I74" s="207">
        <f t="shared" si="24"/>
        <v>0</v>
      </c>
      <c r="J74" s="203" t="e">
        <f>'ANALISIS OCI'!AC72</f>
        <v>#DIV/0!</v>
      </c>
      <c r="K74" s="204" t="e">
        <f t="shared" si="9"/>
        <v>#DIV/0!</v>
      </c>
      <c r="L74" s="205" t="e">
        <f t="shared" si="6"/>
        <v>#DIV/0!</v>
      </c>
      <c r="M74" s="219"/>
      <c r="N74" s="220">
        <f t="shared" si="25"/>
        <v>0</v>
      </c>
      <c r="O74" s="221"/>
      <c r="P74" s="222">
        <f t="shared" si="26"/>
        <v>0</v>
      </c>
      <c r="Q74" s="208"/>
      <c r="R74" s="209">
        <f t="shared" si="27"/>
        <v>45657</v>
      </c>
      <c r="S74" s="223">
        <f t="shared" si="19"/>
        <v>0.3</v>
      </c>
      <c r="T74" s="167" t="e">
        <f t="shared" si="20"/>
        <v>#DIV/0!</v>
      </c>
      <c r="U74" s="179" t="e">
        <f t="shared" si="8"/>
        <v>#DIV/0!</v>
      </c>
    </row>
    <row r="75" spans="2:21" ht="63" customHeight="1" thickBot="1" x14ac:dyDescent="0.35">
      <c r="B75" s="224" t="s">
        <v>311</v>
      </c>
      <c r="C75" s="216">
        <f>+'ANALISIS OCI'!X73</f>
        <v>0</v>
      </c>
      <c r="D75" s="217">
        <f>+'ANALISIS OCI'!Y73</f>
        <v>0</v>
      </c>
      <c r="E75" s="217">
        <f>+'ANALISIS OCI'!Z73</f>
        <v>0</v>
      </c>
      <c r="F75" s="217">
        <f>+'ANALISIS OCI'!AA73</f>
        <v>0</v>
      </c>
      <c r="G75" s="218">
        <f t="shared" si="22"/>
        <v>0</v>
      </c>
      <c r="H75" s="206">
        <f t="shared" si="23"/>
        <v>0</v>
      </c>
      <c r="I75" s="207">
        <f t="shared" si="24"/>
        <v>0</v>
      </c>
      <c r="J75" s="203" t="e">
        <f>'ANALISIS OCI'!AC73</f>
        <v>#DIV/0!</v>
      </c>
      <c r="K75" s="204" t="e">
        <f t="shared" si="9"/>
        <v>#DIV/0!</v>
      </c>
      <c r="L75" s="205" t="e">
        <f t="shared" si="6"/>
        <v>#DIV/0!</v>
      </c>
      <c r="M75" s="219"/>
      <c r="N75" s="220">
        <f t="shared" si="25"/>
        <v>0</v>
      </c>
      <c r="O75" s="221"/>
      <c r="P75" s="222">
        <f t="shared" si="26"/>
        <v>0</v>
      </c>
      <c r="Q75" s="208"/>
      <c r="R75" s="209">
        <f t="shared" si="27"/>
        <v>45657</v>
      </c>
      <c r="S75" s="223">
        <f t="shared" si="19"/>
        <v>0.3</v>
      </c>
      <c r="T75" s="167" t="e">
        <f t="shared" si="20"/>
        <v>#DIV/0!</v>
      </c>
      <c r="U75" s="179" t="e">
        <f t="shared" si="8"/>
        <v>#DIV/0!</v>
      </c>
    </row>
    <row r="76" spans="2:21" ht="63" customHeight="1" thickBot="1" x14ac:dyDescent="0.35">
      <c r="B76" s="224" t="s">
        <v>312</v>
      </c>
      <c r="C76" s="216">
        <f>+'ANALISIS OCI'!X74</f>
        <v>0</v>
      </c>
      <c r="D76" s="217">
        <f>+'ANALISIS OCI'!Y74</f>
        <v>0</v>
      </c>
      <c r="E76" s="217">
        <f>+'ANALISIS OCI'!Z74</f>
        <v>0</v>
      </c>
      <c r="F76" s="217">
        <f>+'ANALISIS OCI'!AA74</f>
        <v>0</v>
      </c>
      <c r="G76" s="218">
        <f t="shared" si="22"/>
        <v>0</v>
      </c>
      <c r="H76" s="206">
        <f t="shared" si="23"/>
        <v>0</v>
      </c>
      <c r="I76" s="207">
        <f t="shared" si="24"/>
        <v>0</v>
      </c>
      <c r="J76" s="203" t="e">
        <f>'ANALISIS OCI'!AC74</f>
        <v>#DIV/0!</v>
      </c>
      <c r="K76" s="204" t="e">
        <f t="shared" si="9"/>
        <v>#DIV/0!</v>
      </c>
      <c r="L76" s="205" t="e">
        <f t="shared" si="6"/>
        <v>#DIV/0!</v>
      </c>
      <c r="M76" s="219"/>
      <c r="N76" s="220">
        <f t="shared" si="25"/>
        <v>0</v>
      </c>
      <c r="O76" s="221"/>
      <c r="P76" s="222">
        <f t="shared" si="26"/>
        <v>0</v>
      </c>
      <c r="Q76" s="208"/>
      <c r="R76" s="209">
        <f t="shared" si="27"/>
        <v>45657</v>
      </c>
      <c r="S76" s="223">
        <f t="shared" si="19"/>
        <v>0.3</v>
      </c>
      <c r="T76" s="167" t="e">
        <f t="shared" si="20"/>
        <v>#DIV/0!</v>
      </c>
      <c r="U76" s="179" t="e">
        <f t="shared" si="8"/>
        <v>#DIV/0!</v>
      </c>
    </row>
    <row r="77" spans="2:21" ht="63" customHeight="1" thickBot="1" x14ac:dyDescent="0.35">
      <c r="B77" s="224" t="s">
        <v>313</v>
      </c>
      <c r="C77" s="216">
        <f>+'ANALISIS OCI'!X75</f>
        <v>0</v>
      </c>
      <c r="D77" s="217">
        <f>+'ANALISIS OCI'!Y75</f>
        <v>0</v>
      </c>
      <c r="E77" s="217">
        <f>+'ANALISIS OCI'!Z75</f>
        <v>0</v>
      </c>
      <c r="F77" s="217">
        <f>+'ANALISIS OCI'!AA75</f>
        <v>0</v>
      </c>
      <c r="G77" s="218">
        <f t="shared" si="22"/>
        <v>0</v>
      </c>
      <c r="H77" s="206">
        <f t="shared" si="23"/>
        <v>0</v>
      </c>
      <c r="I77" s="207">
        <f t="shared" si="24"/>
        <v>0</v>
      </c>
      <c r="J77" s="203" t="e">
        <f>'ANALISIS OCI'!AC75</f>
        <v>#DIV/0!</v>
      </c>
      <c r="K77" s="204" t="e">
        <f t="shared" si="9"/>
        <v>#DIV/0!</v>
      </c>
      <c r="L77" s="205" t="e">
        <f t="shared" si="6"/>
        <v>#DIV/0!</v>
      </c>
      <c r="M77" s="219"/>
      <c r="N77" s="220">
        <f t="shared" si="25"/>
        <v>0</v>
      </c>
      <c r="O77" s="221"/>
      <c r="P77" s="222">
        <f t="shared" si="26"/>
        <v>0</v>
      </c>
      <c r="Q77" s="208"/>
      <c r="R77" s="209">
        <f t="shared" si="27"/>
        <v>45657</v>
      </c>
      <c r="S77" s="223">
        <f t="shared" si="19"/>
        <v>0.3</v>
      </c>
      <c r="T77" s="167" t="e">
        <f t="shared" si="20"/>
        <v>#DIV/0!</v>
      </c>
      <c r="U77" s="179" t="e">
        <f t="shared" si="8"/>
        <v>#DIV/0!</v>
      </c>
    </row>
    <row r="78" spans="2:21" ht="63" customHeight="1" thickBot="1" x14ac:dyDescent="0.35">
      <c r="B78" s="224" t="s">
        <v>314</v>
      </c>
      <c r="C78" s="216">
        <f>+'ANALISIS OCI'!X76</f>
        <v>0</v>
      </c>
      <c r="D78" s="217">
        <f>+'ANALISIS OCI'!Y76</f>
        <v>0</v>
      </c>
      <c r="E78" s="217">
        <f>+'ANALISIS OCI'!Z76</f>
        <v>0</v>
      </c>
      <c r="F78" s="217">
        <f>+'ANALISIS OCI'!AA76</f>
        <v>0</v>
      </c>
      <c r="G78" s="218">
        <f t="shared" si="22"/>
        <v>0</v>
      </c>
      <c r="H78" s="206">
        <f t="shared" si="23"/>
        <v>0</v>
      </c>
      <c r="I78" s="207">
        <f t="shared" si="24"/>
        <v>0</v>
      </c>
      <c r="J78" s="203" t="e">
        <f>'ANALISIS OCI'!AC76</f>
        <v>#DIV/0!</v>
      </c>
      <c r="K78" s="204" t="e">
        <f t="shared" si="9"/>
        <v>#DIV/0!</v>
      </c>
      <c r="L78" s="205" t="e">
        <f t="shared" ref="L78:L90" si="28">IF(I78=0,K78,I78)</f>
        <v>#DIV/0!</v>
      </c>
      <c r="M78" s="219"/>
      <c r="N78" s="220">
        <f t="shared" si="25"/>
        <v>0</v>
      </c>
      <c r="O78" s="221"/>
      <c r="P78" s="222">
        <f t="shared" si="26"/>
        <v>0</v>
      </c>
      <c r="Q78" s="208"/>
      <c r="R78" s="209">
        <f t="shared" si="27"/>
        <v>45657</v>
      </c>
      <c r="S78" s="223">
        <f t="shared" si="19"/>
        <v>0.3</v>
      </c>
      <c r="T78" s="167" t="e">
        <f t="shared" si="20"/>
        <v>#DIV/0!</v>
      </c>
      <c r="U78" s="179" t="e">
        <f t="shared" ref="U78:U92" si="29">+IF(T78&gt;=85%,$AB$12,IF(AND( T78&gt;65%,T78&lt;85%),$AB$13,$AB$14))</f>
        <v>#DIV/0!</v>
      </c>
    </row>
    <row r="79" spans="2:21" ht="63" customHeight="1" thickBot="1" x14ac:dyDescent="0.35">
      <c r="B79" s="224" t="s">
        <v>315</v>
      </c>
      <c r="C79" s="216">
        <f>+'ANALISIS OCI'!X77</f>
        <v>0</v>
      </c>
      <c r="D79" s="217">
        <f>+'ANALISIS OCI'!Y77</f>
        <v>0</v>
      </c>
      <c r="E79" s="217">
        <f>+'ANALISIS OCI'!Z77</f>
        <v>0</v>
      </c>
      <c r="F79" s="217">
        <f>+'ANALISIS OCI'!AA77</f>
        <v>0</v>
      </c>
      <c r="G79" s="218">
        <f t="shared" si="22"/>
        <v>0</v>
      </c>
      <c r="H79" s="206">
        <f t="shared" si="23"/>
        <v>0</v>
      </c>
      <c r="I79" s="207">
        <f t="shared" si="24"/>
        <v>0</v>
      </c>
      <c r="J79" s="203" t="e">
        <f>'ANALISIS OCI'!AC77</f>
        <v>#DIV/0!</v>
      </c>
      <c r="K79" s="204" t="e">
        <f t="shared" ref="K79:K90" si="30">(IF(J79="Extremo",50%,(IF(J79="Alto",40%,IF(J79="Moderado",15%,IF(J79="Bajo",10%,0))))))</f>
        <v>#DIV/0!</v>
      </c>
      <c r="L79" s="205" t="e">
        <f t="shared" si="28"/>
        <v>#DIV/0!</v>
      </c>
      <c r="M79" s="219"/>
      <c r="N79" s="220">
        <f t="shared" si="25"/>
        <v>0</v>
      </c>
      <c r="O79" s="221"/>
      <c r="P79" s="222">
        <f t="shared" si="26"/>
        <v>0</v>
      </c>
      <c r="Q79" s="208"/>
      <c r="R79" s="209">
        <f t="shared" si="27"/>
        <v>45657</v>
      </c>
      <c r="S79" s="223">
        <f t="shared" si="19"/>
        <v>0.3</v>
      </c>
      <c r="T79" s="167" t="e">
        <f t="shared" si="20"/>
        <v>#DIV/0!</v>
      </c>
      <c r="U79" s="179" t="e">
        <f t="shared" si="29"/>
        <v>#DIV/0!</v>
      </c>
    </row>
    <row r="80" spans="2:21" ht="63" customHeight="1" thickBot="1" x14ac:dyDescent="0.35">
      <c r="B80" s="224" t="s">
        <v>316</v>
      </c>
      <c r="C80" s="216">
        <f>+'ANALISIS OCI'!X78</f>
        <v>0</v>
      </c>
      <c r="D80" s="217">
        <f>+'ANALISIS OCI'!Y78</f>
        <v>0</v>
      </c>
      <c r="E80" s="217">
        <f>+'ANALISIS OCI'!Z78</f>
        <v>0</v>
      </c>
      <c r="F80" s="217">
        <f>+'ANALISIS OCI'!AA78</f>
        <v>0</v>
      </c>
      <c r="G80" s="218">
        <f t="shared" si="22"/>
        <v>0</v>
      </c>
      <c r="H80" s="206">
        <f t="shared" si="23"/>
        <v>0</v>
      </c>
      <c r="I80" s="207">
        <f t="shared" si="24"/>
        <v>0</v>
      </c>
      <c r="J80" s="203" t="e">
        <f>'ANALISIS OCI'!AC78</f>
        <v>#DIV/0!</v>
      </c>
      <c r="K80" s="204" t="e">
        <f t="shared" si="30"/>
        <v>#DIV/0!</v>
      </c>
      <c r="L80" s="205" t="e">
        <f t="shared" si="28"/>
        <v>#DIV/0!</v>
      </c>
      <c r="M80" s="219"/>
      <c r="N80" s="220">
        <f t="shared" si="25"/>
        <v>0</v>
      </c>
      <c r="O80" s="221"/>
      <c r="P80" s="222">
        <f t="shared" si="26"/>
        <v>0</v>
      </c>
      <c r="Q80" s="208"/>
      <c r="R80" s="209">
        <f t="shared" si="27"/>
        <v>45657</v>
      </c>
      <c r="S80" s="223">
        <f t="shared" si="19"/>
        <v>0.3</v>
      </c>
      <c r="T80" s="167" t="e">
        <f t="shared" si="20"/>
        <v>#DIV/0!</v>
      </c>
      <c r="U80" s="179" t="e">
        <f t="shared" si="29"/>
        <v>#DIV/0!</v>
      </c>
    </row>
    <row r="81" spans="2:21" ht="63" customHeight="1" thickBot="1" x14ac:dyDescent="0.35">
      <c r="B81" s="224" t="s">
        <v>317</v>
      </c>
      <c r="C81" s="216">
        <f>+'ANALISIS OCI'!X79</f>
        <v>0</v>
      </c>
      <c r="D81" s="217">
        <f>+'ANALISIS OCI'!Y79</f>
        <v>0</v>
      </c>
      <c r="E81" s="217">
        <f>+'ANALISIS OCI'!Z79</f>
        <v>0</v>
      </c>
      <c r="F81" s="217">
        <f>+'ANALISIS OCI'!AA79</f>
        <v>0</v>
      </c>
      <c r="G81" s="218">
        <f t="shared" si="22"/>
        <v>0</v>
      </c>
      <c r="H81" s="206">
        <f t="shared" si="23"/>
        <v>0</v>
      </c>
      <c r="I81" s="207">
        <f t="shared" si="24"/>
        <v>0</v>
      </c>
      <c r="J81" s="203" t="e">
        <f>'ANALISIS OCI'!AC79</f>
        <v>#DIV/0!</v>
      </c>
      <c r="K81" s="204" t="e">
        <f t="shared" si="30"/>
        <v>#DIV/0!</v>
      </c>
      <c r="L81" s="205" t="e">
        <f t="shared" si="28"/>
        <v>#DIV/0!</v>
      </c>
      <c r="M81" s="219"/>
      <c r="N81" s="220">
        <f t="shared" si="25"/>
        <v>0</v>
      </c>
      <c r="O81" s="221"/>
      <c r="P81" s="222">
        <f t="shared" si="26"/>
        <v>0</v>
      </c>
      <c r="Q81" s="208"/>
      <c r="R81" s="209">
        <f t="shared" si="27"/>
        <v>45657</v>
      </c>
      <c r="S81" s="223">
        <f t="shared" si="19"/>
        <v>0.3</v>
      </c>
      <c r="T81" s="167" t="e">
        <f t="shared" si="20"/>
        <v>#DIV/0!</v>
      </c>
      <c r="U81" s="179" t="e">
        <f t="shared" si="29"/>
        <v>#DIV/0!</v>
      </c>
    </row>
    <row r="82" spans="2:21" ht="63" customHeight="1" thickBot="1" x14ac:dyDescent="0.35">
      <c r="B82" s="224" t="s">
        <v>318</v>
      </c>
      <c r="C82" s="216">
        <f>+'ANALISIS OCI'!X80</f>
        <v>0</v>
      </c>
      <c r="D82" s="217">
        <f>+'ANALISIS OCI'!Y80</f>
        <v>0</v>
      </c>
      <c r="E82" s="217">
        <f>+'ANALISIS OCI'!Z80</f>
        <v>0</v>
      </c>
      <c r="F82" s="217">
        <f>+'ANALISIS OCI'!AA80</f>
        <v>0</v>
      </c>
      <c r="G82" s="218">
        <f t="shared" si="22"/>
        <v>0</v>
      </c>
      <c r="H82" s="206">
        <f t="shared" si="23"/>
        <v>0</v>
      </c>
      <c r="I82" s="207">
        <f t="shared" si="24"/>
        <v>0</v>
      </c>
      <c r="J82" s="203" t="e">
        <f>'ANALISIS OCI'!AC80</f>
        <v>#DIV/0!</v>
      </c>
      <c r="K82" s="204" t="e">
        <f t="shared" si="30"/>
        <v>#DIV/0!</v>
      </c>
      <c r="L82" s="205" t="e">
        <f t="shared" si="28"/>
        <v>#DIV/0!</v>
      </c>
      <c r="M82" s="219"/>
      <c r="N82" s="220">
        <f t="shared" si="25"/>
        <v>0</v>
      </c>
      <c r="O82" s="221"/>
      <c r="P82" s="222">
        <f t="shared" si="26"/>
        <v>0</v>
      </c>
      <c r="Q82" s="208"/>
      <c r="R82" s="209">
        <f t="shared" si="27"/>
        <v>45657</v>
      </c>
      <c r="S82" s="223">
        <f t="shared" si="19"/>
        <v>0.3</v>
      </c>
      <c r="T82" s="167" t="e">
        <f t="shared" si="20"/>
        <v>#DIV/0!</v>
      </c>
      <c r="U82" s="179" t="e">
        <f t="shared" si="29"/>
        <v>#DIV/0!</v>
      </c>
    </row>
    <row r="83" spans="2:21" ht="63" customHeight="1" thickBot="1" x14ac:dyDescent="0.35">
      <c r="B83" s="224" t="s">
        <v>319</v>
      </c>
      <c r="C83" s="216">
        <f>+'ANALISIS OCI'!X81</f>
        <v>0</v>
      </c>
      <c r="D83" s="217">
        <f>+'ANALISIS OCI'!Y81</f>
        <v>0</v>
      </c>
      <c r="E83" s="217">
        <f>+'ANALISIS OCI'!Z81</f>
        <v>0</v>
      </c>
      <c r="F83" s="217">
        <f>+'ANALISIS OCI'!AA81</f>
        <v>0</v>
      </c>
      <c r="G83" s="218">
        <f t="shared" si="22"/>
        <v>0</v>
      </c>
      <c r="H83" s="206">
        <f t="shared" si="23"/>
        <v>0</v>
      </c>
      <c r="I83" s="207">
        <f t="shared" si="24"/>
        <v>0</v>
      </c>
      <c r="J83" s="203" t="e">
        <f>'ANALISIS OCI'!AC81</f>
        <v>#DIV/0!</v>
      </c>
      <c r="K83" s="204" t="e">
        <f t="shared" si="30"/>
        <v>#DIV/0!</v>
      </c>
      <c r="L83" s="205" t="e">
        <f t="shared" si="28"/>
        <v>#DIV/0!</v>
      </c>
      <c r="M83" s="219"/>
      <c r="N83" s="220">
        <f t="shared" si="25"/>
        <v>0</v>
      </c>
      <c r="O83" s="221"/>
      <c r="P83" s="222">
        <f t="shared" si="26"/>
        <v>0</v>
      </c>
      <c r="Q83" s="208"/>
      <c r="R83" s="209">
        <f t="shared" si="27"/>
        <v>45657</v>
      </c>
      <c r="S83" s="223">
        <f t="shared" si="19"/>
        <v>0.3</v>
      </c>
      <c r="T83" s="167" t="e">
        <f t="shared" si="20"/>
        <v>#DIV/0!</v>
      </c>
      <c r="U83" s="179" t="e">
        <f t="shared" si="29"/>
        <v>#DIV/0!</v>
      </c>
    </row>
    <row r="84" spans="2:21" ht="63" customHeight="1" thickBot="1" x14ac:dyDescent="0.35">
      <c r="B84" s="224" t="s">
        <v>320</v>
      </c>
      <c r="C84" s="216">
        <f>+'ANALISIS OCI'!X82</f>
        <v>0</v>
      </c>
      <c r="D84" s="217">
        <f>+'ANALISIS OCI'!Y82</f>
        <v>0</v>
      </c>
      <c r="E84" s="217">
        <f>+'ANALISIS OCI'!Z82</f>
        <v>0</v>
      </c>
      <c r="F84" s="217">
        <f>+'ANALISIS OCI'!AA82</f>
        <v>0</v>
      </c>
      <c r="G84" s="218">
        <f t="shared" si="22"/>
        <v>0</v>
      </c>
      <c r="H84" s="206">
        <f t="shared" si="23"/>
        <v>0</v>
      </c>
      <c r="I84" s="207">
        <f t="shared" si="24"/>
        <v>0</v>
      </c>
      <c r="J84" s="203" t="e">
        <f>'ANALISIS OCI'!AC82</f>
        <v>#DIV/0!</v>
      </c>
      <c r="K84" s="204" t="e">
        <f t="shared" si="30"/>
        <v>#DIV/0!</v>
      </c>
      <c r="L84" s="205" t="e">
        <f t="shared" si="28"/>
        <v>#DIV/0!</v>
      </c>
      <c r="M84" s="219"/>
      <c r="N84" s="220">
        <f t="shared" si="25"/>
        <v>0</v>
      </c>
      <c r="O84" s="221"/>
      <c r="P84" s="222">
        <f t="shared" si="26"/>
        <v>0</v>
      </c>
      <c r="Q84" s="208"/>
      <c r="R84" s="209">
        <f t="shared" si="27"/>
        <v>45657</v>
      </c>
      <c r="S84" s="223">
        <f t="shared" si="19"/>
        <v>0.3</v>
      </c>
      <c r="T84" s="167" t="e">
        <f t="shared" si="20"/>
        <v>#DIV/0!</v>
      </c>
      <c r="U84" s="179" t="e">
        <f t="shared" si="29"/>
        <v>#DIV/0!</v>
      </c>
    </row>
    <row r="85" spans="2:21" ht="63" customHeight="1" thickBot="1" x14ac:dyDescent="0.35">
      <c r="B85" s="224" t="s">
        <v>321</v>
      </c>
      <c r="C85" s="216">
        <f>+'ANALISIS OCI'!X83</f>
        <v>0</v>
      </c>
      <c r="D85" s="217">
        <f>+'ANALISIS OCI'!Y83</f>
        <v>0</v>
      </c>
      <c r="E85" s="217">
        <f>+'ANALISIS OCI'!Z83</f>
        <v>0</v>
      </c>
      <c r="F85" s="217">
        <f>+'ANALISIS OCI'!AA83</f>
        <v>0</v>
      </c>
      <c r="G85" s="218">
        <f t="shared" si="22"/>
        <v>0</v>
      </c>
      <c r="H85" s="206">
        <f t="shared" si="23"/>
        <v>0</v>
      </c>
      <c r="I85" s="207">
        <f t="shared" si="24"/>
        <v>0</v>
      </c>
      <c r="J85" s="203" t="e">
        <f>'ANALISIS OCI'!AC83</f>
        <v>#DIV/0!</v>
      </c>
      <c r="K85" s="204" t="e">
        <f t="shared" si="30"/>
        <v>#DIV/0!</v>
      </c>
      <c r="L85" s="205" t="e">
        <f t="shared" si="28"/>
        <v>#DIV/0!</v>
      </c>
      <c r="M85" s="219"/>
      <c r="N85" s="220">
        <f t="shared" si="25"/>
        <v>0</v>
      </c>
      <c r="O85" s="221"/>
      <c r="P85" s="222">
        <f t="shared" si="26"/>
        <v>0</v>
      </c>
      <c r="Q85" s="208"/>
      <c r="R85" s="209">
        <f t="shared" si="27"/>
        <v>45657</v>
      </c>
      <c r="S85" s="223">
        <f t="shared" si="19"/>
        <v>0.3</v>
      </c>
      <c r="T85" s="167" t="e">
        <f t="shared" si="20"/>
        <v>#DIV/0!</v>
      </c>
      <c r="U85" s="179" t="e">
        <f t="shared" si="29"/>
        <v>#DIV/0!</v>
      </c>
    </row>
    <row r="86" spans="2:21" ht="63" customHeight="1" thickBot="1" x14ac:dyDescent="0.35">
      <c r="B86" s="224" t="s">
        <v>322</v>
      </c>
      <c r="C86" s="216">
        <f>+'ANALISIS OCI'!X84</f>
        <v>0</v>
      </c>
      <c r="D86" s="217">
        <f>+'ANALISIS OCI'!Y84</f>
        <v>0</v>
      </c>
      <c r="E86" s="217">
        <f>+'ANALISIS OCI'!Z84</f>
        <v>0</v>
      </c>
      <c r="F86" s="217">
        <f>+'ANALISIS OCI'!AA84</f>
        <v>0</v>
      </c>
      <c r="G86" s="218">
        <f t="shared" si="22"/>
        <v>0</v>
      </c>
      <c r="H86" s="206">
        <f t="shared" si="23"/>
        <v>0</v>
      </c>
      <c r="I86" s="207">
        <f t="shared" si="24"/>
        <v>0</v>
      </c>
      <c r="J86" s="203" t="e">
        <f>'ANALISIS OCI'!AC84</f>
        <v>#DIV/0!</v>
      </c>
      <c r="K86" s="204" t="e">
        <f t="shared" si="30"/>
        <v>#DIV/0!</v>
      </c>
      <c r="L86" s="205" t="e">
        <f t="shared" si="28"/>
        <v>#DIV/0!</v>
      </c>
      <c r="M86" s="219"/>
      <c r="N86" s="220">
        <f t="shared" si="25"/>
        <v>0</v>
      </c>
      <c r="O86" s="221"/>
      <c r="P86" s="222">
        <f t="shared" si="26"/>
        <v>0</v>
      </c>
      <c r="Q86" s="208"/>
      <c r="R86" s="209">
        <f t="shared" si="27"/>
        <v>45657</v>
      </c>
      <c r="S86" s="223">
        <f t="shared" si="19"/>
        <v>0.3</v>
      </c>
      <c r="T86" s="167" t="e">
        <f t="shared" si="20"/>
        <v>#DIV/0!</v>
      </c>
      <c r="U86" s="179" t="e">
        <f t="shared" si="29"/>
        <v>#DIV/0!</v>
      </c>
    </row>
    <row r="87" spans="2:21" ht="63" customHeight="1" thickBot="1" x14ac:dyDescent="0.35">
      <c r="B87" s="224" t="s">
        <v>323</v>
      </c>
      <c r="C87" s="216">
        <f>+'ANALISIS OCI'!X85</f>
        <v>0</v>
      </c>
      <c r="D87" s="217">
        <f>+'ANALISIS OCI'!Y85</f>
        <v>0</v>
      </c>
      <c r="E87" s="217">
        <f>+'ANALISIS OCI'!Z85</f>
        <v>0</v>
      </c>
      <c r="F87" s="217">
        <f>+'ANALISIS OCI'!AA85</f>
        <v>0</v>
      </c>
      <c r="G87" s="218">
        <f t="shared" si="22"/>
        <v>0</v>
      </c>
      <c r="H87" s="206">
        <f t="shared" si="23"/>
        <v>0</v>
      </c>
      <c r="I87" s="207">
        <f t="shared" si="24"/>
        <v>0</v>
      </c>
      <c r="J87" s="203" t="e">
        <f>'ANALISIS OCI'!AC85</f>
        <v>#DIV/0!</v>
      </c>
      <c r="K87" s="204" t="e">
        <f t="shared" si="30"/>
        <v>#DIV/0!</v>
      </c>
      <c r="L87" s="205" t="e">
        <f t="shared" si="28"/>
        <v>#DIV/0!</v>
      </c>
      <c r="M87" s="219"/>
      <c r="N87" s="220">
        <f t="shared" si="25"/>
        <v>0</v>
      </c>
      <c r="O87" s="221"/>
      <c r="P87" s="222">
        <f t="shared" si="26"/>
        <v>0</v>
      </c>
      <c r="Q87" s="208"/>
      <c r="R87" s="209">
        <f t="shared" si="27"/>
        <v>45657</v>
      </c>
      <c r="S87" s="223">
        <f t="shared" si="19"/>
        <v>0.3</v>
      </c>
      <c r="T87" s="167" t="e">
        <f t="shared" si="20"/>
        <v>#DIV/0!</v>
      </c>
      <c r="U87" s="179" t="e">
        <f t="shared" si="29"/>
        <v>#DIV/0!</v>
      </c>
    </row>
    <row r="88" spans="2:21" ht="63" customHeight="1" thickBot="1" x14ac:dyDescent="0.35">
      <c r="B88" s="224" t="s">
        <v>324</v>
      </c>
      <c r="C88" s="216">
        <f>+'ANALISIS OCI'!X86</f>
        <v>0</v>
      </c>
      <c r="D88" s="217">
        <f>+'ANALISIS OCI'!Y86</f>
        <v>0</v>
      </c>
      <c r="E88" s="217">
        <f>+'ANALISIS OCI'!Z86</f>
        <v>0</v>
      </c>
      <c r="F88" s="217">
        <f>+'ANALISIS OCI'!AA86</f>
        <v>0</v>
      </c>
      <c r="G88" s="218">
        <f t="shared" si="22"/>
        <v>0</v>
      </c>
      <c r="H88" s="206">
        <f t="shared" si="23"/>
        <v>0</v>
      </c>
      <c r="I88" s="207">
        <f t="shared" si="24"/>
        <v>0</v>
      </c>
      <c r="J88" s="203" t="e">
        <f>'ANALISIS OCI'!AC86</f>
        <v>#DIV/0!</v>
      </c>
      <c r="K88" s="204" t="e">
        <f t="shared" si="30"/>
        <v>#DIV/0!</v>
      </c>
      <c r="L88" s="205" t="e">
        <f t="shared" si="28"/>
        <v>#DIV/0!</v>
      </c>
      <c r="M88" s="219"/>
      <c r="N88" s="220">
        <f t="shared" si="25"/>
        <v>0</v>
      </c>
      <c r="O88" s="221"/>
      <c r="P88" s="222">
        <f t="shared" si="26"/>
        <v>0</v>
      </c>
      <c r="Q88" s="208"/>
      <c r="R88" s="209">
        <f t="shared" si="27"/>
        <v>45657</v>
      </c>
      <c r="S88" s="223">
        <f t="shared" si="19"/>
        <v>0.3</v>
      </c>
      <c r="T88" s="167" t="e">
        <f t="shared" si="20"/>
        <v>#DIV/0!</v>
      </c>
      <c r="U88" s="179" t="e">
        <f t="shared" si="29"/>
        <v>#DIV/0!</v>
      </c>
    </row>
    <row r="89" spans="2:21" ht="63" customHeight="1" thickBot="1" x14ac:dyDescent="0.35">
      <c r="B89" s="224" t="s">
        <v>325</v>
      </c>
      <c r="C89" s="216">
        <f>+'ANALISIS OCI'!X87</f>
        <v>0</v>
      </c>
      <c r="D89" s="217">
        <f>+'ANALISIS OCI'!Y87</f>
        <v>0</v>
      </c>
      <c r="E89" s="217">
        <f>+'ANALISIS OCI'!Z87</f>
        <v>0</v>
      </c>
      <c r="F89" s="217">
        <f>+'ANALISIS OCI'!AA87</f>
        <v>0</v>
      </c>
      <c r="G89" s="218">
        <f t="shared" si="22"/>
        <v>0</v>
      </c>
      <c r="H89" s="206">
        <f t="shared" si="23"/>
        <v>0</v>
      </c>
      <c r="I89" s="207">
        <f t="shared" si="24"/>
        <v>0</v>
      </c>
      <c r="J89" s="203" t="e">
        <f>'ANALISIS OCI'!AC87</f>
        <v>#DIV/0!</v>
      </c>
      <c r="K89" s="204" t="e">
        <f t="shared" si="30"/>
        <v>#DIV/0!</v>
      </c>
      <c r="L89" s="205" t="e">
        <f t="shared" si="28"/>
        <v>#DIV/0!</v>
      </c>
      <c r="M89" s="219"/>
      <c r="N89" s="220">
        <f t="shared" si="25"/>
        <v>0</v>
      </c>
      <c r="O89" s="221"/>
      <c r="P89" s="222">
        <f t="shared" si="26"/>
        <v>0</v>
      </c>
      <c r="Q89" s="208"/>
      <c r="R89" s="209">
        <f t="shared" si="27"/>
        <v>45657</v>
      </c>
      <c r="S89" s="223">
        <f t="shared" si="19"/>
        <v>0.3</v>
      </c>
      <c r="T89" s="167" t="e">
        <f t="shared" si="20"/>
        <v>#DIV/0!</v>
      </c>
      <c r="U89" s="179" t="e">
        <f t="shared" si="29"/>
        <v>#DIV/0!</v>
      </c>
    </row>
    <row r="90" spans="2:21" ht="63" customHeight="1" thickBot="1" x14ac:dyDescent="0.35">
      <c r="B90" s="224" t="s">
        <v>326</v>
      </c>
      <c r="C90" s="216">
        <f>+'ANALISIS OCI'!X88</f>
        <v>0</v>
      </c>
      <c r="D90" s="217">
        <f>+'ANALISIS OCI'!Y88</f>
        <v>0</v>
      </c>
      <c r="E90" s="217">
        <f>+'ANALISIS OCI'!Z88</f>
        <v>0</v>
      </c>
      <c r="F90" s="217">
        <f>+'ANALISIS OCI'!AA88</f>
        <v>0</v>
      </c>
      <c r="G90" s="218">
        <f t="shared" si="22"/>
        <v>0</v>
      </c>
      <c r="H90" s="206">
        <f t="shared" si="23"/>
        <v>0</v>
      </c>
      <c r="I90" s="207">
        <f t="shared" si="24"/>
        <v>0</v>
      </c>
      <c r="J90" s="203" t="e">
        <f>'ANALISIS OCI'!AC88</f>
        <v>#DIV/0!</v>
      </c>
      <c r="K90" s="204" t="e">
        <f t="shared" si="30"/>
        <v>#DIV/0!</v>
      </c>
      <c r="L90" s="205" t="e">
        <f t="shared" si="28"/>
        <v>#DIV/0!</v>
      </c>
      <c r="M90" s="219"/>
      <c r="N90" s="220">
        <f t="shared" si="25"/>
        <v>0</v>
      </c>
      <c r="O90" s="221"/>
      <c r="P90" s="222">
        <f t="shared" si="26"/>
        <v>0</v>
      </c>
      <c r="Q90" s="208"/>
      <c r="R90" s="209">
        <f t="shared" si="27"/>
        <v>45657</v>
      </c>
      <c r="S90" s="223">
        <f t="shared" si="19"/>
        <v>0.3</v>
      </c>
      <c r="T90" s="167" t="e">
        <f t="shared" si="20"/>
        <v>#DIV/0!</v>
      </c>
      <c r="U90" s="179" t="e">
        <f t="shared" si="29"/>
        <v>#DIV/0!</v>
      </c>
    </row>
    <row r="91" spans="2:21" ht="63" customHeight="1" thickBot="1" x14ac:dyDescent="0.35">
      <c r="B91" s="224" t="s">
        <v>327</v>
      </c>
      <c r="C91" s="216">
        <f>+'ANALISIS OCI'!X89</f>
        <v>0</v>
      </c>
      <c r="D91" s="217">
        <f>+'ANALISIS OCI'!Y89</f>
        <v>0</v>
      </c>
      <c r="E91" s="217">
        <f>+'ANALISIS OCI'!Z89</f>
        <v>0</v>
      </c>
      <c r="F91" s="217">
        <f>+'ANALISIS OCI'!AA89</f>
        <v>0</v>
      </c>
      <c r="G91" s="218">
        <f t="shared" si="22"/>
        <v>0</v>
      </c>
      <c r="H91" s="206">
        <f t="shared" si="23"/>
        <v>0</v>
      </c>
      <c r="I91" s="207">
        <f t="shared" si="24"/>
        <v>0</v>
      </c>
      <c r="J91" s="203" t="e">
        <f>'ANALISIS OCI'!AC89</f>
        <v>#DIV/0!</v>
      </c>
      <c r="K91" s="204" t="e">
        <f t="shared" ref="K91:K92" si="31">(IF(J91="Extremo",50%,(IF(J91="Alto",40%,IF(J91="Moderado",15%,IF(J91="Bajo",10%,0))))))</f>
        <v>#DIV/0!</v>
      </c>
      <c r="L91" s="205" t="e">
        <f t="shared" ref="L91:L92" si="32">IF(I91=0,K91,I91)</f>
        <v>#DIV/0!</v>
      </c>
      <c r="M91" s="219"/>
      <c r="N91" s="220">
        <f t="shared" si="25"/>
        <v>0</v>
      </c>
      <c r="O91" s="221"/>
      <c r="P91" s="222">
        <f t="shared" si="26"/>
        <v>0</v>
      </c>
      <c r="Q91" s="208"/>
      <c r="R91" s="209">
        <f t="shared" si="27"/>
        <v>45657</v>
      </c>
      <c r="S91" s="223">
        <f t="shared" si="19"/>
        <v>0.3</v>
      </c>
      <c r="T91" s="167" t="e">
        <f t="shared" si="20"/>
        <v>#DIV/0!</v>
      </c>
      <c r="U91" s="179" t="e">
        <f t="shared" si="29"/>
        <v>#DIV/0!</v>
      </c>
    </row>
    <row r="92" spans="2:21" ht="63" customHeight="1" thickBot="1" x14ac:dyDescent="0.35">
      <c r="B92" s="224" t="s">
        <v>328</v>
      </c>
      <c r="C92" s="216">
        <f>+'ANALISIS OCI'!X90</f>
        <v>0</v>
      </c>
      <c r="D92" s="217">
        <f>+'ANALISIS OCI'!Y90</f>
        <v>0</v>
      </c>
      <c r="E92" s="217">
        <f>+'ANALISIS OCI'!Z90</f>
        <v>0</v>
      </c>
      <c r="F92" s="217">
        <f>+'ANALISIS OCI'!AA90</f>
        <v>0</v>
      </c>
      <c r="G92" s="218">
        <f t="shared" si="22"/>
        <v>0</v>
      </c>
      <c r="H92" s="206">
        <f t="shared" si="23"/>
        <v>0</v>
      </c>
      <c r="I92" s="207">
        <f t="shared" si="24"/>
        <v>0</v>
      </c>
      <c r="J92" s="203" t="e">
        <f>'ANALISIS OCI'!AC90</f>
        <v>#DIV/0!</v>
      </c>
      <c r="K92" s="204" t="e">
        <f t="shared" si="31"/>
        <v>#DIV/0!</v>
      </c>
      <c r="L92" s="205" t="e">
        <f t="shared" si="32"/>
        <v>#DIV/0!</v>
      </c>
      <c r="M92" s="219"/>
      <c r="N92" s="220">
        <f t="shared" si="25"/>
        <v>0</v>
      </c>
      <c r="O92" s="221"/>
      <c r="P92" s="222">
        <f t="shared" si="26"/>
        <v>0</v>
      </c>
      <c r="Q92" s="208"/>
      <c r="R92" s="209">
        <f t="shared" si="27"/>
        <v>45657</v>
      </c>
      <c r="S92" s="223">
        <f t="shared" si="19"/>
        <v>0.3</v>
      </c>
      <c r="T92" s="167" t="e">
        <f t="shared" si="20"/>
        <v>#DIV/0!</v>
      </c>
      <c r="U92" s="179" t="e">
        <f t="shared" si="29"/>
        <v>#DIV/0!</v>
      </c>
    </row>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row r="99" ht="15.75" customHeight="1" x14ac:dyDescent="0.3"/>
    <row r="100" ht="15.75" customHeight="1" x14ac:dyDescent="0.3"/>
  </sheetData>
  <mergeCells count="23">
    <mergeCell ref="T9:U10"/>
    <mergeCell ref="T8:U8"/>
    <mergeCell ref="C8:J8"/>
    <mergeCell ref="J9:L10"/>
    <mergeCell ref="M8:N8"/>
    <mergeCell ref="O8:P8"/>
    <mergeCell ref="Q8:S8"/>
    <mergeCell ref="Q9:Q10"/>
    <mergeCell ref="R9:R10"/>
    <mergeCell ref="S9:S10"/>
    <mergeCell ref="B9:B10"/>
    <mergeCell ref="C9:G9"/>
    <mergeCell ref="H9:I10"/>
    <mergeCell ref="M9:N10"/>
    <mergeCell ref="O9:P10"/>
    <mergeCell ref="C6:D6"/>
    <mergeCell ref="B2:B5"/>
    <mergeCell ref="C2:Q5"/>
    <mergeCell ref="R2:S2"/>
    <mergeCell ref="T2:T5"/>
    <mergeCell ref="R3:S3"/>
    <mergeCell ref="R4:S4"/>
    <mergeCell ref="R5:S5"/>
  </mergeCells>
  <phoneticPr fontId="58" type="noConversion"/>
  <conditionalFormatting sqref="H11">
    <cfRule type="containsText" dxfId="150" priority="45" operator="containsText" text="Moderado">
      <formula>NOT(ISERROR(SEARCH(("Moderado"),(H11))))</formula>
    </cfRule>
  </conditionalFormatting>
  <conditionalFormatting sqref="H11">
    <cfRule type="containsText" dxfId="149" priority="46" operator="containsText" text="Alto">
      <formula>NOT(ISERROR(SEARCH(("Alto"),(H11))))</formula>
    </cfRule>
  </conditionalFormatting>
  <conditionalFormatting sqref="H11">
    <cfRule type="containsText" dxfId="148" priority="47" operator="containsText" text="Muy Alto">
      <formula>NOT(ISERROR(SEARCH(("Muy Alto"),(H11))))</formula>
    </cfRule>
  </conditionalFormatting>
  <conditionalFormatting sqref="H11">
    <cfRule type="containsText" dxfId="147" priority="48" operator="containsText" text="Muy Bajo">
      <formula>NOT(ISERROR(SEARCH(("Muy Bajo"),(H11))))</formula>
    </cfRule>
  </conditionalFormatting>
  <conditionalFormatting sqref="H11">
    <cfRule type="containsText" dxfId="146" priority="49" operator="containsText" text="Bajo">
      <formula>NOT(ISERROR(SEARCH(("Bajo"),(H11))))</formula>
    </cfRule>
  </conditionalFormatting>
  <conditionalFormatting sqref="H11">
    <cfRule type="containsText" dxfId="145" priority="50" operator="containsText" text="Extremo">
      <formula>NOT(ISERROR(SEARCH(("Extremo"),(H11))))</formula>
    </cfRule>
  </conditionalFormatting>
  <conditionalFormatting sqref="T11:T19 T22:T92">
    <cfRule type="colorScale" priority="87">
      <colorScale>
        <cfvo type="min"/>
        <cfvo type="percentile" val="50"/>
        <cfvo type="max"/>
        <color rgb="FF63BE7B"/>
        <color rgb="FFFFEB84"/>
        <color rgb="FFF8696B"/>
      </colorScale>
    </cfRule>
  </conditionalFormatting>
  <conditionalFormatting sqref="G11">
    <cfRule type="containsText" dxfId="144" priority="28" operator="containsText" text="Muy Alto">
      <formula>NOT(ISERROR(SEARCH(("Muy Alto"),(G11))))</formula>
    </cfRule>
  </conditionalFormatting>
  <conditionalFormatting sqref="T20">
    <cfRule type="colorScale" priority="44">
      <colorScale>
        <cfvo type="min"/>
        <cfvo type="percentile" val="50"/>
        <cfvo type="max"/>
        <color rgb="FF63BE7B"/>
        <color rgb="FFFFEB84"/>
        <color rgb="FFF8696B"/>
      </colorScale>
    </cfRule>
  </conditionalFormatting>
  <conditionalFormatting sqref="T21">
    <cfRule type="colorScale" priority="37">
      <colorScale>
        <cfvo type="min"/>
        <cfvo type="percentile" val="50"/>
        <cfvo type="max"/>
        <color rgb="FF63BE7B"/>
        <color rgb="FFFFEB84"/>
        <color rgb="FFF8696B"/>
      </colorScale>
    </cfRule>
  </conditionalFormatting>
  <conditionalFormatting sqref="G11">
    <cfRule type="containsText" dxfId="143" priority="30" operator="containsText" text="Moderado">
      <formula>NOT(ISERROR(SEARCH(("Moderado"),(G11))))</formula>
    </cfRule>
  </conditionalFormatting>
  <conditionalFormatting sqref="G11">
    <cfRule type="containsText" dxfId="142" priority="29" operator="containsText" text="Alto">
      <formula>NOT(ISERROR(SEARCH(("Alto"),(G11))))</formula>
    </cfRule>
  </conditionalFormatting>
  <conditionalFormatting sqref="G11">
    <cfRule type="containsText" dxfId="141" priority="88" operator="containsText" text="Muy Bajo">
      <formula>NOT(ISERROR(SEARCH(("Muy Bajo"),(G11))))</formula>
    </cfRule>
  </conditionalFormatting>
  <conditionalFormatting sqref="G11">
    <cfRule type="containsText" dxfId="140" priority="89" operator="containsText" text="Bajo">
      <formula>NOT(ISERROR(SEARCH(("Bajo"),(G11))))</formula>
    </cfRule>
  </conditionalFormatting>
  <conditionalFormatting sqref="G11">
    <cfRule type="containsText" dxfId="139" priority="90" operator="containsText" text="Extremo">
      <formula>NOT(ISERROR(SEARCH(("Extremo"),(G11))))</formula>
    </cfRule>
  </conditionalFormatting>
  <conditionalFormatting sqref="H12:H92">
    <cfRule type="containsText" dxfId="138" priority="12" operator="containsText" text="Moderado">
      <formula>NOT(ISERROR(SEARCH(("Moderado"),(H12))))</formula>
    </cfRule>
  </conditionalFormatting>
  <conditionalFormatting sqref="H12:H92">
    <cfRule type="containsText" dxfId="137" priority="11" operator="containsText" text="Alto">
      <formula>NOT(ISERROR(SEARCH(("Alto"),(H12))))</formula>
    </cfRule>
  </conditionalFormatting>
  <conditionalFormatting sqref="H12:H92">
    <cfRule type="containsText" dxfId="136" priority="10" operator="containsText" text="Muy Alto">
      <formula>NOT(ISERROR(SEARCH(("Muy Alto"),(H12))))</formula>
    </cfRule>
  </conditionalFormatting>
  <conditionalFormatting sqref="H12:H92">
    <cfRule type="containsText" dxfId="135" priority="91" operator="containsText" text="Muy Bajo">
      <formula>NOT(ISERROR(SEARCH(("Muy Bajo"),(H12))))</formula>
    </cfRule>
  </conditionalFormatting>
  <conditionalFormatting sqref="H12:H92">
    <cfRule type="containsText" dxfId="134" priority="92" operator="containsText" text="Bajo">
      <formula>NOT(ISERROR(SEARCH(("Bajo"),(H12))))</formula>
    </cfRule>
  </conditionalFormatting>
  <conditionalFormatting sqref="H12:H92">
    <cfRule type="containsText" dxfId="133" priority="93" operator="containsText" text="Extremo">
      <formula>NOT(ISERROR(SEARCH(("Extremo"),(H12))))</formula>
    </cfRule>
  </conditionalFormatting>
  <conditionalFormatting sqref="G12:G92">
    <cfRule type="containsText" dxfId="132" priority="6" operator="containsText" text="Moderado">
      <formula>NOT(ISERROR(SEARCH(("Moderado"),(G12))))</formula>
    </cfRule>
  </conditionalFormatting>
  <conditionalFormatting sqref="G12:G92">
    <cfRule type="containsText" dxfId="131" priority="5" operator="containsText" text="Alto">
      <formula>NOT(ISERROR(SEARCH(("Alto"),(G12))))</formula>
    </cfRule>
  </conditionalFormatting>
  <conditionalFormatting sqref="G12:G92">
    <cfRule type="containsText" dxfId="130" priority="4" operator="containsText" text="Muy Alto">
      <formula>NOT(ISERROR(SEARCH(("Muy Alto"),(G12))))</formula>
    </cfRule>
  </conditionalFormatting>
  <conditionalFormatting sqref="G12:G92">
    <cfRule type="containsText" dxfId="129" priority="94" operator="containsText" text="Muy Bajo">
      <formula>NOT(ISERROR(SEARCH(("Muy Bajo"),(G12))))</formula>
    </cfRule>
  </conditionalFormatting>
  <conditionalFormatting sqref="G12:G92">
    <cfRule type="containsText" dxfId="128" priority="95" operator="containsText" text="Bajo">
      <formula>NOT(ISERROR(SEARCH(("Bajo"),(G12))))</formula>
    </cfRule>
  </conditionalFormatting>
  <conditionalFormatting sqref="G12:G92">
    <cfRule type="containsText" dxfId="127" priority="96" operator="containsText" text="Extremo">
      <formula>NOT(ISERROR(SEARCH(("Extremo"),(G12))))</formula>
    </cfRule>
  </conditionalFormatting>
  <dataValidations count="1">
    <dataValidation type="list" allowBlank="1" showErrorMessage="1" sqref="O11:O92 M11:M92">
      <formula1>"Si,No"</formula1>
    </dataValidation>
  </dataValidations>
  <pageMargins left="0.7" right="0.7" top="0.75" bottom="0.75" header="0" footer="0"/>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15"/>
  <sheetViews>
    <sheetView workbookViewId="0"/>
  </sheetViews>
  <sheetFormatPr baseColWidth="10" defaultColWidth="11.42578125" defaultRowHeight="15" x14ac:dyDescent="0.25"/>
  <cols>
    <col min="1" max="2" width="11.42578125" style="15"/>
    <col min="3" max="3" width="16.85546875" style="15" customWidth="1"/>
    <col min="4" max="16384" width="11.42578125" style="15"/>
  </cols>
  <sheetData>
    <row r="4" spans="3:11" ht="15.75" thickBot="1" x14ac:dyDescent="0.3"/>
    <row r="5" spans="3:11" x14ac:dyDescent="0.25">
      <c r="C5" s="139" t="s">
        <v>235</v>
      </c>
      <c r="D5" s="140"/>
      <c r="E5" s="140"/>
      <c r="F5" s="140"/>
      <c r="G5" s="140"/>
      <c r="H5" s="140"/>
      <c r="I5" s="140"/>
      <c r="J5" s="140"/>
      <c r="K5" s="141"/>
    </row>
    <row r="6" spans="3:11" ht="15.75" thickBot="1" x14ac:dyDescent="0.3">
      <c r="C6" s="142" t="s">
        <v>268</v>
      </c>
      <c r="D6" s="143" t="s">
        <v>275</v>
      </c>
      <c r="E6" s="143"/>
      <c r="F6" s="143"/>
      <c r="G6" s="143"/>
      <c r="H6" s="143"/>
      <c r="I6" s="143"/>
      <c r="J6" s="143"/>
      <c r="K6" s="144"/>
    </row>
    <row r="9" spans="3:11" ht="236.25" customHeight="1" x14ac:dyDescent="0.25">
      <c r="C9" s="581" t="s">
        <v>269</v>
      </c>
      <c r="D9" s="581"/>
      <c r="E9" s="581"/>
      <c r="F9" s="581"/>
      <c r="G9" s="581"/>
      <c r="H9" s="581"/>
      <c r="I9" s="581"/>
      <c r="J9" s="581"/>
      <c r="K9" s="581"/>
    </row>
    <row r="10" spans="3:11" ht="326.25" customHeight="1" x14ac:dyDescent="0.25">
      <c r="C10" s="581" t="s">
        <v>270</v>
      </c>
      <c r="D10" s="581"/>
      <c r="E10" s="581"/>
      <c r="F10" s="581"/>
      <c r="G10" s="581"/>
      <c r="H10" s="581"/>
      <c r="I10" s="581"/>
      <c r="J10" s="581"/>
      <c r="K10" s="581"/>
    </row>
    <row r="11" spans="3:11" ht="205.5" customHeight="1" x14ac:dyDescent="0.25">
      <c r="C11" s="581" t="s">
        <v>272</v>
      </c>
      <c r="D11" s="581"/>
      <c r="E11" s="581"/>
      <c r="F11" s="581"/>
      <c r="G11" s="581"/>
      <c r="H11" s="581"/>
      <c r="I11" s="581"/>
      <c r="J11" s="581"/>
      <c r="K11" s="581"/>
    </row>
    <row r="12" spans="3:11" ht="269.25" customHeight="1" x14ac:dyDescent="0.25">
      <c r="C12" s="581" t="s">
        <v>273</v>
      </c>
      <c r="D12" s="581"/>
      <c r="E12" s="581"/>
      <c r="F12" s="581"/>
      <c r="G12" s="581"/>
      <c r="H12" s="581"/>
      <c r="I12" s="581"/>
      <c r="J12" s="581"/>
      <c r="K12" s="581"/>
    </row>
    <row r="13" spans="3:11" ht="249" customHeight="1" x14ac:dyDescent="0.25">
      <c r="C13" s="581" t="s">
        <v>274</v>
      </c>
      <c r="D13" s="581"/>
      <c r="E13" s="581"/>
      <c r="F13" s="581"/>
      <c r="G13" s="581"/>
      <c r="H13" s="581"/>
      <c r="I13" s="581"/>
      <c r="J13" s="581"/>
      <c r="K13" s="581"/>
    </row>
    <row r="14" spans="3:11" ht="167.25" customHeight="1" x14ac:dyDescent="0.25">
      <c r="C14" s="581" t="s">
        <v>271</v>
      </c>
      <c r="D14" s="581"/>
      <c r="E14" s="581"/>
      <c r="F14" s="581"/>
      <c r="G14" s="581"/>
      <c r="H14" s="581"/>
      <c r="I14" s="581"/>
      <c r="J14" s="581"/>
      <c r="K14" s="581"/>
    </row>
    <row r="15" spans="3:11" ht="39.75" customHeight="1" x14ac:dyDescent="0.25">
      <c r="C15" s="523" t="s">
        <v>243</v>
      </c>
      <c r="D15" s="523"/>
      <c r="E15" s="523"/>
      <c r="F15" s="523"/>
      <c r="G15" s="523"/>
      <c r="H15" s="523"/>
      <c r="I15" s="523"/>
      <c r="J15" s="523"/>
      <c r="K15" s="523"/>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topLeftCell="A7" workbookViewId="0">
      <pane ySplit="2" topLeftCell="A54" activePane="bottomLeft" state="frozen"/>
      <selection activeCell="A7" sqref="A7"/>
      <selection pane="bottomLeft" activeCell="B67" sqref="B67"/>
    </sheetView>
  </sheetViews>
  <sheetFormatPr baseColWidth="10" defaultColWidth="11.42578125" defaultRowHeight="15" x14ac:dyDescent="0.25"/>
  <cols>
    <col min="1" max="2" width="38.5703125" customWidth="1"/>
    <col min="3" max="3" width="25.7109375" customWidth="1"/>
    <col min="4" max="4" width="9.570312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3.5703125" hidden="1" customWidth="1"/>
    <col min="17" max="23" width="3.140625" customWidth="1"/>
    <col min="29" max="29" width="14.28515625" bestFit="1" customWidth="1"/>
  </cols>
  <sheetData>
    <row r="1" spans="1:35" ht="15.75" thickBot="1" x14ac:dyDescent="0.3"/>
    <row r="2" spans="1:35" ht="15" customHeight="1" x14ac:dyDescent="0.25">
      <c r="A2" s="582"/>
      <c r="B2" s="594" t="s">
        <v>278</v>
      </c>
      <c r="C2" s="595"/>
      <c r="D2" s="595"/>
      <c r="E2" s="595"/>
      <c r="F2" s="595"/>
      <c r="G2" s="595"/>
      <c r="H2" s="595"/>
      <c r="I2" s="595"/>
      <c r="J2" s="595"/>
      <c r="K2" s="595"/>
      <c r="L2" s="595"/>
      <c r="M2" s="595"/>
      <c r="N2" s="595"/>
      <c r="O2" s="596"/>
      <c r="P2" s="168"/>
      <c r="Q2" s="591"/>
      <c r="R2" s="591"/>
      <c r="S2" s="591"/>
      <c r="T2" s="591"/>
      <c r="U2" s="591"/>
      <c r="V2" s="591"/>
      <c r="W2" s="591"/>
      <c r="X2" s="591"/>
      <c r="Y2" s="591"/>
      <c r="Z2" s="591"/>
      <c r="AA2" s="585"/>
      <c r="AB2" s="585"/>
      <c r="AC2" s="586"/>
    </row>
    <row r="3" spans="1:35" x14ac:dyDescent="0.25">
      <c r="A3" s="583"/>
      <c r="B3" s="597"/>
      <c r="C3" s="598"/>
      <c r="D3" s="598"/>
      <c r="E3" s="598"/>
      <c r="F3" s="598"/>
      <c r="G3" s="598"/>
      <c r="H3" s="598"/>
      <c r="I3" s="598"/>
      <c r="J3" s="598"/>
      <c r="K3" s="598"/>
      <c r="L3" s="598"/>
      <c r="M3" s="598"/>
      <c r="N3" s="598"/>
      <c r="O3" s="599"/>
      <c r="P3" s="169"/>
      <c r="Q3" s="592"/>
      <c r="R3" s="592"/>
      <c r="S3" s="592"/>
      <c r="T3" s="592"/>
      <c r="U3" s="592"/>
      <c r="V3" s="592"/>
      <c r="W3" s="592"/>
      <c r="X3" s="592"/>
      <c r="Y3" s="592"/>
      <c r="Z3" s="592"/>
      <c r="AA3" s="587"/>
      <c r="AB3" s="587"/>
      <c r="AC3" s="588"/>
    </row>
    <row r="4" spans="1:35" x14ac:dyDescent="0.25">
      <c r="A4" s="583"/>
      <c r="B4" s="597"/>
      <c r="C4" s="598"/>
      <c r="D4" s="598"/>
      <c r="E4" s="598"/>
      <c r="F4" s="598"/>
      <c r="G4" s="598"/>
      <c r="H4" s="598"/>
      <c r="I4" s="598"/>
      <c r="J4" s="598"/>
      <c r="K4" s="598"/>
      <c r="L4" s="598"/>
      <c r="M4" s="598"/>
      <c r="N4" s="598"/>
      <c r="O4" s="599"/>
      <c r="P4" s="169"/>
      <c r="Q4" s="592"/>
      <c r="R4" s="592"/>
      <c r="S4" s="592"/>
      <c r="T4" s="592"/>
      <c r="U4" s="592"/>
      <c r="V4" s="592"/>
      <c r="W4" s="592"/>
      <c r="X4" s="592"/>
      <c r="Y4" s="592"/>
      <c r="Z4" s="592"/>
      <c r="AA4" s="587"/>
      <c r="AB4" s="587"/>
      <c r="AC4" s="588"/>
    </row>
    <row r="5" spans="1:35" ht="15.75" thickBot="1" x14ac:dyDescent="0.3">
      <c r="A5" s="584"/>
      <c r="B5" s="600"/>
      <c r="C5" s="601"/>
      <c r="D5" s="601"/>
      <c r="E5" s="601"/>
      <c r="F5" s="601"/>
      <c r="G5" s="601"/>
      <c r="H5" s="601"/>
      <c r="I5" s="601"/>
      <c r="J5" s="601"/>
      <c r="K5" s="601"/>
      <c r="L5" s="601"/>
      <c r="M5" s="601"/>
      <c r="N5" s="601"/>
      <c r="O5" s="602"/>
      <c r="P5" s="170"/>
      <c r="Q5" s="593"/>
      <c r="R5" s="593"/>
      <c r="S5" s="593"/>
      <c r="T5" s="593"/>
      <c r="U5" s="593"/>
      <c r="V5" s="593"/>
      <c r="W5" s="593"/>
      <c r="X5" s="593"/>
      <c r="Y5" s="593"/>
      <c r="Z5" s="593"/>
      <c r="AA5" s="589"/>
      <c r="AB5" s="589"/>
      <c r="AC5" s="590"/>
    </row>
    <row r="6" spans="1:35" ht="15.75" thickBot="1" x14ac:dyDescent="0.3"/>
    <row r="7" spans="1:35" x14ac:dyDescent="0.25">
      <c r="A7" s="604" t="s">
        <v>15</v>
      </c>
      <c r="B7" s="604" t="s">
        <v>331</v>
      </c>
      <c r="C7" s="606">
        <v>1</v>
      </c>
      <c r="D7" s="607"/>
      <c r="E7" s="607">
        <v>2</v>
      </c>
      <c r="F7" s="607"/>
      <c r="G7" s="607">
        <v>3</v>
      </c>
      <c r="H7" s="607"/>
      <c r="I7" s="607">
        <v>4</v>
      </c>
      <c r="J7" s="607"/>
      <c r="K7" s="607">
        <v>5</v>
      </c>
      <c r="L7" s="607"/>
      <c r="M7" s="607">
        <v>6</v>
      </c>
      <c r="N7" s="607"/>
      <c r="O7" s="607">
        <v>7</v>
      </c>
      <c r="P7" s="608"/>
      <c r="Q7" s="598">
        <v>1</v>
      </c>
      <c r="R7" s="598">
        <v>2</v>
      </c>
      <c r="S7" s="598">
        <v>3</v>
      </c>
      <c r="T7" s="598">
        <v>4</v>
      </c>
      <c r="U7" s="598">
        <v>5</v>
      </c>
      <c r="V7" s="598">
        <v>6</v>
      </c>
      <c r="W7" s="598">
        <v>7</v>
      </c>
      <c r="X7" s="619" t="s">
        <v>1</v>
      </c>
      <c r="Y7" s="621" t="s">
        <v>2</v>
      </c>
      <c r="Z7" s="623" t="s">
        <v>3</v>
      </c>
      <c r="AA7" s="610" t="s">
        <v>4</v>
      </c>
      <c r="AB7" s="612" t="s">
        <v>279</v>
      </c>
      <c r="AC7" s="614" t="s">
        <v>280</v>
      </c>
    </row>
    <row r="8" spans="1:35" s="171" customFormat="1" ht="45" customHeight="1" thickBot="1" x14ac:dyDescent="0.3">
      <c r="A8" s="605"/>
      <c r="B8" s="609"/>
      <c r="C8" s="616" t="s">
        <v>281</v>
      </c>
      <c r="D8" s="617"/>
      <c r="E8" s="617" t="s">
        <v>282</v>
      </c>
      <c r="F8" s="617"/>
      <c r="G8" s="617" t="s">
        <v>283</v>
      </c>
      <c r="H8" s="617"/>
      <c r="I8" s="617" t="s">
        <v>284</v>
      </c>
      <c r="J8" s="617"/>
      <c r="K8" s="617" t="s">
        <v>285</v>
      </c>
      <c r="L8" s="617"/>
      <c r="M8" s="617" t="s">
        <v>286</v>
      </c>
      <c r="N8" s="617"/>
      <c r="O8" s="617" t="s">
        <v>287</v>
      </c>
      <c r="P8" s="618"/>
      <c r="Q8" s="603"/>
      <c r="R8" s="603"/>
      <c r="S8" s="603"/>
      <c r="T8" s="603"/>
      <c r="U8" s="603"/>
      <c r="V8" s="603"/>
      <c r="W8" s="603"/>
      <c r="X8" s="620"/>
      <c r="Y8" s="622"/>
      <c r="Z8" s="624"/>
      <c r="AA8" s="611"/>
      <c r="AB8" s="613"/>
      <c r="AC8" s="615"/>
    </row>
    <row r="9" spans="1:35" ht="30" x14ac:dyDescent="0.25">
      <c r="A9" s="172" t="str">
        <f>+'PRIORIZACIÓN (2)'!B11</f>
        <v>Seguimiento a SARLAFT</v>
      </c>
      <c r="B9" s="180" t="str">
        <f>+IF('PRIORIZACIÓN (2)'!I11&gt;0%,"YA CUENTA CON PONDERACIÓN DE RIESGOS, NO DILIGENCIAR ANALISIS OCI", "DILIGENCIE ANALISIS OCI PARA ESTA UNIDAD AUDITABLE")</f>
        <v>YA CUENTA CON PONDERACIÓN DE RIESGOS, NO DILIGENCIAR ANALISIS OCI</v>
      </c>
      <c r="C9" s="176" t="s">
        <v>346</v>
      </c>
      <c r="D9" s="1"/>
      <c r="E9" s="1" t="s">
        <v>485</v>
      </c>
      <c r="F9" s="1"/>
      <c r="G9" s="177" t="s">
        <v>345</v>
      </c>
      <c r="H9" s="1"/>
      <c r="I9" s="177" t="s">
        <v>345</v>
      </c>
      <c r="J9" s="1"/>
      <c r="K9" s="1" t="s">
        <v>488</v>
      </c>
      <c r="L9" s="1"/>
      <c r="M9" s="1" t="s">
        <v>345</v>
      </c>
      <c r="N9" s="1"/>
      <c r="O9" s="1" t="s">
        <v>489</v>
      </c>
      <c r="P9" s="173" t="str">
        <f>IF($O9="Critica no recuperable","E",IF($O9="Critica con recuperación parcial","A",IF($O9="Falta de oportunidad para atención usuarios","M",IF($O9="Falta de oportunidad para gestión de los procesos","B",0))))</f>
        <v>M</v>
      </c>
      <c r="Q9" s="1" t="str">
        <f>IF($C9="EXTREMA","E",IF($C9="ALTA","A",IF($C9="MEDIA","M",IF($C9="BAJA","B",0))))</f>
        <v>E</v>
      </c>
      <c r="R9" s="1" t="str">
        <f t="shared" ref="R9:R72" si="0">IF($E9="3 días","E",IF($E9="2 días","A",IF($E9="1 días","M",IF($E9="Varias horas","B",0))))</f>
        <v>B</v>
      </c>
      <c r="S9" s="1">
        <f t="shared" ref="S9:S73" si="1">IF($G9="EXTREMA","E",IF($G9="ALTA","A",IF($G9="MEDIA","M",IF($G9="BAJA","B",0))))</f>
        <v>0</v>
      </c>
      <c r="T9" s="1">
        <f>IF($I9="EXTREMA","E",IF($I9="ALTA","A",IF($I9="MEDIA","M",IF($I9="BAJA","B",0))))</f>
        <v>0</v>
      </c>
      <c r="U9" s="1" t="str">
        <f t="shared" ref="U9:U72" si="2">IF($K9="Hechos de Corrupción","E",IF($K9="Incumplimiento de servicios","A",IF($K9="Retrasos en los servicios","M",IF($K9="Quejas por incumplimientos o retrasos","B",0))))</f>
        <v>A</v>
      </c>
      <c r="V9" s="1">
        <f>IF($M9="EXTREMA","E",IF($M9="ALTA","A",IF($M9="MEDIA","M",IF($M9="BAJA","B",0))))</f>
        <v>0</v>
      </c>
      <c r="W9" s="173" t="str">
        <f>IF($O9="Critica no recuperable","E",IF($O9="Critica con recuperación parcial","A",IF($O9="Falta de oportunidad para atención usuarios","M",IF($O9="Falta de oportunidad para gestión de los procesos","B",0))))</f>
        <v>M</v>
      </c>
      <c r="X9" s="5">
        <f>COUNTIFS(Q9:W9,"E")</f>
        <v>1</v>
      </c>
      <c r="Y9" s="1">
        <f>COUNTIF(Q9:W9,"A")</f>
        <v>1</v>
      </c>
      <c r="Z9" s="1">
        <f>COUNTIF(Q9:W9,"M")</f>
        <v>1</v>
      </c>
      <c r="AA9" s="174">
        <f>COUNTIF(Q9:W9,"B")</f>
        <v>1</v>
      </c>
      <c r="AB9" s="5">
        <f>SUM(X9:AA9)</f>
        <v>4</v>
      </c>
      <c r="AC9" s="175" t="str">
        <f>+IF((X9/AB9)&gt;=0.2,"Extremo",+IF(((X9/AB9)+(Y9/AB9))&gt;=0.3,"Alto",+IF(((X9/AB9)+(Y9/AB9)+(Z9/AB9))&gt;=0.4,"Moderado",+IF((X9/AB9)+(Y9/AB9)+(Z9/AB9)+(AA9/AB9)&gt;=0.5,"Bajo",""))))</f>
        <v>Extremo</v>
      </c>
      <c r="AI9" t="s">
        <v>332</v>
      </c>
    </row>
    <row r="10" spans="1:35" ht="30" x14ac:dyDescent="0.25">
      <c r="A10" s="172" t="str">
        <f>+'PRIORIZACIÓN (2)'!B12</f>
        <v>Revisión de Polizas de Seguro Corporativa</v>
      </c>
      <c r="B10" s="180" t="str">
        <f>+IF('PRIORIZACIÓN (2)'!I12&gt;0%,"YA CUENTA CON PONDERACIÓN DE RIESGOS, NO DILIGENCIAR ANALISIS OCI", "DILIGENCIE ANALISIS OCI PARA ESTA UNIDAD AUDITABLE")</f>
        <v>YA CUENTA CON PONDERACIÓN DE RIESGOS, NO DILIGENCIAR ANALISIS OCI</v>
      </c>
      <c r="C10" s="176" t="s">
        <v>346</v>
      </c>
      <c r="D10" s="1"/>
      <c r="E10" s="1" t="s">
        <v>485</v>
      </c>
      <c r="F10" s="1"/>
      <c r="G10" s="177" t="s">
        <v>345</v>
      </c>
      <c r="H10" s="1"/>
      <c r="I10" s="177" t="s">
        <v>343</v>
      </c>
      <c r="J10" s="1"/>
      <c r="K10" s="1" t="s">
        <v>490</v>
      </c>
      <c r="L10" s="1"/>
      <c r="M10" s="1" t="s">
        <v>345</v>
      </c>
      <c r="N10" s="1"/>
      <c r="O10" s="1" t="s">
        <v>513</v>
      </c>
      <c r="P10" s="174" t="str">
        <f t="shared" ref="P10:P17" si="3">IF($O10="Critica no recuperable","E",IF($O10="Critica con recuperación parcial","A",IF($O10="Falta de oportunidad para atención usuarios","M",IF($O10="Falta de oportunidad para gestión de los procesos","B",0))))</f>
        <v>A</v>
      </c>
      <c r="Q10" s="1" t="str">
        <f t="shared" ref="Q10:Q73" si="4">IF($C10="EXTREMA","E",IF($C10="ALTA","A",IF($C10="MEDIA","M",IF($C10="BAJA","B",0))))</f>
        <v>E</v>
      </c>
      <c r="R10" s="1" t="str">
        <f t="shared" si="0"/>
        <v>B</v>
      </c>
      <c r="S10" s="1">
        <f t="shared" si="1"/>
        <v>0</v>
      </c>
      <c r="T10" s="1" t="str">
        <f t="shared" ref="T10:T73" si="5">IF($I10="EXTREMA","E",IF($I10="ALTA","A",IF($I10="MEDIA","M",IF($I10="BAJA","B",0))))</f>
        <v>B</v>
      </c>
      <c r="U10" s="1" t="str">
        <f t="shared" si="2"/>
        <v>M</v>
      </c>
      <c r="V10" s="1">
        <f>IF($M10="EXTREMA","E",IF($M10="ALTA","A",IF($M10="MEDIA","M",IF($M10="BAJA","B",0))))</f>
        <v>0</v>
      </c>
      <c r="W10" s="173" t="str">
        <f t="shared" ref="W10:W73" si="6">IF($O10="Critica no recuperable","E",IF($O10="Critica con recuperación parcial","A",IF($O10="Falta de oportunidad para atención usuarios","M",IF($O10="Falta de oportunidad para gestión de los procesos","B",0))))</f>
        <v>A</v>
      </c>
      <c r="X10" s="5">
        <f t="shared" ref="X10:X17" si="7">COUNTIFS(Q10:W10,"E")</f>
        <v>1</v>
      </c>
      <c r="Y10" s="1">
        <f t="shared" ref="Y10:Y17" si="8">COUNTIF(Q10:W10,"A")</f>
        <v>1</v>
      </c>
      <c r="Z10" s="1">
        <f t="shared" ref="Z10:Z17" si="9">COUNTIF(Q10:W10,"M")</f>
        <v>1</v>
      </c>
      <c r="AA10" s="174">
        <f t="shared" ref="AA10:AA17" si="10">COUNTIF(Q10:W10,"B")</f>
        <v>2</v>
      </c>
      <c r="AB10" s="5">
        <f t="shared" ref="AB10:AB17" si="11">SUM(X10:AA10)</f>
        <v>5</v>
      </c>
      <c r="AC10" s="175" t="str">
        <f t="shared" ref="AC10:AC17" si="12">+IF((X10/AB10)&gt;=0.2,"Extremo",+IF(((X10/AB10)+(Y10/AB10))&gt;=0.3,"Alto",+IF(((X10/AB10)+(Y10/AB10)+(Z10/AB10))&gt;=0.4,"Moderado",+IF((X10/AB10)+(Y10/AB10)+(Z10/AB10)+(AA10/AB10)&gt;=0.5,"Bajo",""))))</f>
        <v>Extremo</v>
      </c>
      <c r="AI10" t="s">
        <v>333</v>
      </c>
    </row>
    <row r="11" spans="1:35" ht="30" x14ac:dyDescent="0.25">
      <c r="A11" s="172" t="str">
        <f>+'PRIORIZACIÓN (2)'!B13</f>
        <v>Seguimiento a actos administrativos Internos</v>
      </c>
      <c r="B11" s="180" t="str">
        <f>+IF('PRIORIZACIÓN (2)'!I13&gt;0%,"YA CUENTA CON PONDERACIÓN DE RIESGOS, NO DILIGENCIAR ANALISIS OCI", "DILIGENCIE ANALISIS OCI PARA ESTA UNIDAD AUDITABLE")</f>
        <v>YA CUENTA CON PONDERACIÓN DE RIESGOS, NO DILIGENCIAR ANALISIS OCI</v>
      </c>
      <c r="C11" s="176" t="s">
        <v>345</v>
      </c>
      <c r="D11" s="1"/>
      <c r="E11" s="1" t="s">
        <v>485</v>
      </c>
      <c r="F11" s="1"/>
      <c r="G11" s="177" t="s">
        <v>343</v>
      </c>
      <c r="H11" s="1"/>
      <c r="I11" s="177" t="s">
        <v>345</v>
      </c>
      <c r="J11" s="1"/>
      <c r="K11" s="1" t="s">
        <v>490</v>
      </c>
      <c r="L11" s="1"/>
      <c r="M11" s="1" t="s">
        <v>345</v>
      </c>
      <c r="N11" s="1"/>
      <c r="O11" s="1" t="s">
        <v>487</v>
      </c>
      <c r="P11" s="174" t="str">
        <f t="shared" si="3"/>
        <v>B</v>
      </c>
      <c r="Q11" s="1">
        <f t="shared" si="4"/>
        <v>0</v>
      </c>
      <c r="R11" s="1" t="str">
        <f t="shared" si="0"/>
        <v>B</v>
      </c>
      <c r="S11" s="1" t="str">
        <f t="shared" si="1"/>
        <v>B</v>
      </c>
      <c r="T11" s="1">
        <f t="shared" si="5"/>
        <v>0</v>
      </c>
      <c r="U11" s="1" t="str">
        <f t="shared" si="2"/>
        <v>M</v>
      </c>
      <c r="V11" s="1">
        <f t="shared" ref="V11:V73" si="13">IF($M11="EXTREMA","E",IF($M11="ALTA","A",IF($M11="MEDIA","M",IF($M11="BAJA","B",0))))</f>
        <v>0</v>
      </c>
      <c r="W11" s="173" t="str">
        <f t="shared" si="6"/>
        <v>B</v>
      </c>
      <c r="X11" s="5">
        <f t="shared" si="7"/>
        <v>0</v>
      </c>
      <c r="Y11" s="1">
        <f t="shared" si="8"/>
        <v>0</v>
      </c>
      <c r="Z11" s="1">
        <f t="shared" si="9"/>
        <v>1</v>
      </c>
      <c r="AA11" s="174">
        <f t="shared" si="10"/>
        <v>3</v>
      </c>
      <c r="AB11" s="5">
        <f t="shared" si="11"/>
        <v>4</v>
      </c>
      <c r="AC11" s="175" t="str">
        <f t="shared" si="12"/>
        <v>Bajo</v>
      </c>
    </row>
    <row r="12" spans="1:35" ht="90" x14ac:dyDescent="0.25">
      <c r="A12" s="172" t="str">
        <f>+'PRIORIZACIÓN (2)'!B14</f>
        <v>Plan Institucional de Archivos de la Entidad PINAR - Plan Estratégico de Talento Humano - Plan de Trabajo Anual en Seguridad y Salud en el Trabajo - Sistema de Gestión de Seguridad y Salud en el Trabajo</v>
      </c>
      <c r="B12" s="180" t="str">
        <f>+IF('PRIORIZACIÓN (2)'!I14&gt;0%,"YA CUENTA CON PONDERACIÓN DE RIESGOS, NO DILIGENCIAR ANALISIS OCI", "DILIGENCIE ANALISIS OCI PARA ESTA UNIDAD AUDITABLE")</f>
        <v>YA CUENTA CON PONDERACIÓN DE RIESGOS, NO DILIGENCIAR ANALISIS OCI</v>
      </c>
      <c r="C12" s="176" t="s">
        <v>343</v>
      </c>
      <c r="D12" s="1"/>
      <c r="E12" s="1" t="s">
        <v>485</v>
      </c>
      <c r="F12" s="1"/>
      <c r="G12" s="177" t="s">
        <v>345</v>
      </c>
      <c r="H12" s="1"/>
      <c r="I12" s="177" t="s">
        <v>345</v>
      </c>
      <c r="J12" s="1"/>
      <c r="K12" s="1" t="s">
        <v>490</v>
      </c>
      <c r="L12" s="1"/>
      <c r="M12" s="1" t="s">
        <v>344</v>
      </c>
      <c r="N12" s="1"/>
      <c r="O12" s="1" t="s">
        <v>487</v>
      </c>
      <c r="P12" s="174" t="str">
        <f t="shared" si="3"/>
        <v>B</v>
      </c>
      <c r="Q12" s="1" t="str">
        <f t="shared" si="4"/>
        <v>B</v>
      </c>
      <c r="R12" s="1" t="str">
        <f t="shared" si="0"/>
        <v>B</v>
      </c>
      <c r="S12" s="1">
        <f t="shared" si="1"/>
        <v>0</v>
      </c>
      <c r="T12" s="1">
        <f t="shared" si="5"/>
        <v>0</v>
      </c>
      <c r="U12" s="1" t="str">
        <f t="shared" si="2"/>
        <v>M</v>
      </c>
      <c r="V12" s="1" t="str">
        <f t="shared" si="13"/>
        <v>M</v>
      </c>
      <c r="W12" s="173" t="str">
        <f t="shared" si="6"/>
        <v>B</v>
      </c>
      <c r="X12" s="5">
        <f t="shared" si="7"/>
        <v>0</v>
      </c>
      <c r="Y12" s="1">
        <f t="shared" si="8"/>
        <v>0</v>
      </c>
      <c r="Z12" s="1">
        <f t="shared" si="9"/>
        <v>2</v>
      </c>
      <c r="AA12" s="174">
        <f t="shared" si="10"/>
        <v>3</v>
      </c>
      <c r="AB12" s="5">
        <f t="shared" si="11"/>
        <v>5</v>
      </c>
      <c r="AC12" s="175" t="str">
        <f t="shared" si="12"/>
        <v>Moderado</v>
      </c>
    </row>
    <row r="13" spans="1:35" ht="90" x14ac:dyDescent="0.25">
      <c r="A13" s="172" t="str">
        <f>+'PRIORIZACIÓN (2)'!B15</f>
        <v>Plan Estratégico de Tecnologías de la Información y las Comunicaciones ­ PETI - Plan de Tratamiento de Riesgos de Seguridad y Privacidad de la Información - Plan de Seguridad y Privacidad de la Información</v>
      </c>
      <c r="B13" s="180" t="str">
        <f>+IF('PRIORIZACIÓN (2)'!I15&gt;0%,"YA CUENTA CON PONDERACIÓN DE RIESGOS, NO DILIGENCIAR ANALISIS OCI", "DILIGENCIE ANALISIS OCI PARA ESTA UNIDAD AUDITABLE")</f>
        <v>YA CUENTA CON PONDERACIÓN DE RIESGOS, NO DILIGENCIAR ANALISIS OCI</v>
      </c>
      <c r="C13" s="176" t="s">
        <v>343</v>
      </c>
      <c r="D13" s="1"/>
      <c r="E13" s="1" t="s">
        <v>485</v>
      </c>
      <c r="F13" s="1"/>
      <c r="G13" s="177" t="s">
        <v>345</v>
      </c>
      <c r="H13" s="1"/>
      <c r="I13" s="177" t="s">
        <v>345</v>
      </c>
      <c r="J13" s="1"/>
      <c r="K13" s="1" t="s">
        <v>490</v>
      </c>
      <c r="L13" s="1"/>
      <c r="M13" s="1" t="s">
        <v>344</v>
      </c>
      <c r="N13" s="1"/>
      <c r="O13" s="1" t="s">
        <v>487</v>
      </c>
      <c r="P13" s="174" t="str">
        <f t="shared" si="3"/>
        <v>B</v>
      </c>
      <c r="Q13" s="1" t="str">
        <f t="shared" si="4"/>
        <v>B</v>
      </c>
      <c r="R13" s="1" t="str">
        <f t="shared" si="0"/>
        <v>B</v>
      </c>
      <c r="S13" s="1">
        <f t="shared" si="1"/>
        <v>0</v>
      </c>
      <c r="T13" s="1">
        <f t="shared" si="5"/>
        <v>0</v>
      </c>
      <c r="U13" s="1" t="str">
        <f t="shared" si="2"/>
        <v>M</v>
      </c>
      <c r="V13" s="1" t="str">
        <f t="shared" si="13"/>
        <v>M</v>
      </c>
      <c r="W13" s="173" t="str">
        <f t="shared" si="6"/>
        <v>B</v>
      </c>
      <c r="X13" s="5">
        <f t="shared" si="7"/>
        <v>0</v>
      </c>
      <c r="Y13" s="1">
        <f t="shared" si="8"/>
        <v>0</v>
      </c>
      <c r="Z13" s="1">
        <f t="shared" si="9"/>
        <v>2</v>
      </c>
      <c r="AA13" s="174">
        <f t="shared" si="10"/>
        <v>3</v>
      </c>
      <c r="AB13" s="5">
        <f t="shared" si="11"/>
        <v>5</v>
      </c>
      <c r="AC13" s="175" t="str">
        <f t="shared" si="12"/>
        <v>Moderado</v>
      </c>
    </row>
    <row r="14" spans="1:35" ht="120" x14ac:dyDescent="0.25">
      <c r="A14" s="172" t="str">
        <f>+'PRIORIZACIÓN (2)'!B16</f>
        <v>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v>
      </c>
      <c r="B14" s="180" t="str">
        <f>+IF('PRIORIZACIÓN (2)'!I16&gt;0%,"YA CUENTA CON PONDERACIÓN DE RIESGOS, NO DILIGENCIAR ANALISIS OCI", "DILIGENCIE ANALISIS OCI PARA ESTA UNIDAD AUDITABLE")</f>
        <v>YA CUENTA CON PONDERACIÓN DE RIESGOS, NO DILIGENCIAR ANALISIS OCI</v>
      </c>
      <c r="C14" s="176" t="s">
        <v>343</v>
      </c>
      <c r="D14" s="1"/>
      <c r="E14" s="1" t="s">
        <v>485</v>
      </c>
      <c r="F14" s="1"/>
      <c r="G14" s="177" t="s">
        <v>345</v>
      </c>
      <c r="H14" s="1"/>
      <c r="I14" s="177" t="s">
        <v>345</v>
      </c>
      <c r="J14" s="1"/>
      <c r="K14" s="1" t="s">
        <v>490</v>
      </c>
      <c r="L14" s="1"/>
      <c r="M14" s="1" t="s">
        <v>344</v>
      </c>
      <c r="N14" s="1"/>
      <c r="O14" s="1" t="s">
        <v>487</v>
      </c>
      <c r="P14" s="174" t="str">
        <f t="shared" si="3"/>
        <v>B</v>
      </c>
      <c r="Q14" s="1" t="str">
        <f t="shared" si="4"/>
        <v>B</v>
      </c>
      <c r="R14" s="1" t="str">
        <f t="shared" si="0"/>
        <v>B</v>
      </c>
      <c r="S14" s="1">
        <f t="shared" si="1"/>
        <v>0</v>
      </c>
      <c r="T14" s="1">
        <f t="shared" si="5"/>
        <v>0</v>
      </c>
      <c r="U14" s="1" t="str">
        <f t="shared" si="2"/>
        <v>M</v>
      </c>
      <c r="V14" s="1" t="str">
        <f t="shared" si="13"/>
        <v>M</v>
      </c>
      <c r="W14" s="173" t="str">
        <f t="shared" si="6"/>
        <v>B</v>
      </c>
      <c r="X14" s="5">
        <f t="shared" si="7"/>
        <v>0</v>
      </c>
      <c r="Y14" s="1">
        <f t="shared" si="8"/>
        <v>0</v>
      </c>
      <c r="Z14" s="1">
        <f t="shared" si="9"/>
        <v>2</v>
      </c>
      <c r="AA14" s="174">
        <f t="shared" si="10"/>
        <v>3</v>
      </c>
      <c r="AB14" s="5">
        <f t="shared" si="11"/>
        <v>5</v>
      </c>
      <c r="AC14" s="175" t="str">
        <f t="shared" si="12"/>
        <v>Moderado</v>
      </c>
    </row>
    <row r="15" spans="1:35" ht="30" x14ac:dyDescent="0.25">
      <c r="A15" s="172" t="str">
        <f>+'PRIORIZACIÓN (2)'!B17</f>
        <v>Seguimiento adjudicación San Victorino</v>
      </c>
      <c r="B15" s="180" t="str">
        <f>+IF('PRIORIZACIÓN (2)'!I17&gt;0%,"YA CUENTA CON PONDERACIÓN DE RIESGOS, NO DILIGENCIAR ANALISIS OCI", "DILIGENCIE ANALISIS OCI PARA ESTA UNIDAD AUDITABLE")</f>
        <v>YA CUENTA CON PONDERACIÓN DE RIESGOS, NO DILIGENCIAR ANALISIS OCI</v>
      </c>
      <c r="C15" s="176" t="s">
        <v>346</v>
      </c>
      <c r="D15" s="1"/>
      <c r="E15" s="1" t="s">
        <v>485</v>
      </c>
      <c r="F15" s="1"/>
      <c r="G15" s="177" t="s">
        <v>346</v>
      </c>
      <c r="H15" s="1"/>
      <c r="I15" s="177" t="s">
        <v>345</v>
      </c>
      <c r="J15" s="1"/>
      <c r="K15" s="1" t="s">
        <v>486</v>
      </c>
      <c r="L15" s="1"/>
      <c r="M15" s="1" t="s">
        <v>345</v>
      </c>
      <c r="N15" s="1"/>
      <c r="O15" s="1" t="s">
        <v>561</v>
      </c>
      <c r="P15" s="174" t="str">
        <f t="shared" si="3"/>
        <v>E</v>
      </c>
      <c r="Q15" s="1" t="str">
        <f t="shared" si="4"/>
        <v>E</v>
      </c>
      <c r="R15" s="1" t="str">
        <f t="shared" si="0"/>
        <v>B</v>
      </c>
      <c r="S15" s="1" t="str">
        <f t="shared" si="1"/>
        <v>E</v>
      </c>
      <c r="T15" s="1">
        <f t="shared" si="5"/>
        <v>0</v>
      </c>
      <c r="U15" s="1" t="str">
        <f t="shared" si="2"/>
        <v>E</v>
      </c>
      <c r="V15" s="1">
        <f t="shared" si="13"/>
        <v>0</v>
      </c>
      <c r="W15" s="173" t="str">
        <f t="shared" si="6"/>
        <v>E</v>
      </c>
      <c r="X15" s="5">
        <f t="shared" si="7"/>
        <v>4</v>
      </c>
      <c r="Y15" s="1">
        <f t="shared" si="8"/>
        <v>0</v>
      </c>
      <c r="Z15" s="1">
        <f t="shared" si="9"/>
        <v>0</v>
      </c>
      <c r="AA15" s="174">
        <f t="shared" si="10"/>
        <v>1</v>
      </c>
      <c r="AB15" s="5">
        <f t="shared" si="11"/>
        <v>5</v>
      </c>
      <c r="AC15" s="175" t="str">
        <f t="shared" si="12"/>
        <v>Extremo</v>
      </c>
    </row>
    <row r="16" spans="1:35" ht="30" x14ac:dyDescent="0.25">
      <c r="A16" s="172" t="str">
        <f>+'PRIORIZACIÓN (2)'!B18</f>
        <v>Seguimiento estado Obra Alcaldia Mártires</v>
      </c>
      <c r="B16" s="180" t="str">
        <f>+IF('PRIORIZACIÓN (2)'!I18&gt;0%,"YA CUENTA CON PONDERACIÓN DE RIESGOS, NO DILIGENCIAR ANALISIS OCI", "DILIGENCIE ANALISIS OCI PARA ESTA UNIDAD AUDITABLE")</f>
        <v>YA CUENTA CON PONDERACIÓN DE RIESGOS, NO DILIGENCIAR ANALISIS OCI</v>
      </c>
      <c r="C16" s="176" t="s">
        <v>346</v>
      </c>
      <c r="D16" s="1"/>
      <c r="E16" s="1" t="s">
        <v>485</v>
      </c>
      <c r="F16" s="1"/>
      <c r="G16" s="177" t="s">
        <v>346</v>
      </c>
      <c r="H16" s="1"/>
      <c r="I16" s="177" t="s">
        <v>345</v>
      </c>
      <c r="J16" s="1"/>
      <c r="K16" s="1" t="s">
        <v>486</v>
      </c>
      <c r="L16" s="1"/>
      <c r="M16" s="1" t="s">
        <v>345</v>
      </c>
      <c r="N16" s="1"/>
      <c r="O16" s="1" t="s">
        <v>561</v>
      </c>
      <c r="P16" s="174" t="str">
        <f t="shared" si="3"/>
        <v>E</v>
      </c>
      <c r="Q16" s="1" t="str">
        <f t="shared" si="4"/>
        <v>E</v>
      </c>
      <c r="R16" s="1" t="str">
        <f t="shared" si="0"/>
        <v>B</v>
      </c>
      <c r="S16" s="1" t="str">
        <f t="shared" si="1"/>
        <v>E</v>
      </c>
      <c r="T16" s="1">
        <f t="shared" si="5"/>
        <v>0</v>
      </c>
      <c r="U16" s="1" t="str">
        <f t="shared" si="2"/>
        <v>E</v>
      </c>
      <c r="V16" s="1">
        <f t="shared" si="13"/>
        <v>0</v>
      </c>
      <c r="W16" s="173" t="str">
        <f t="shared" si="6"/>
        <v>E</v>
      </c>
      <c r="X16" s="5">
        <f t="shared" si="7"/>
        <v>4</v>
      </c>
      <c r="Y16" s="1">
        <f t="shared" si="8"/>
        <v>0</v>
      </c>
      <c r="Z16" s="1">
        <f t="shared" si="9"/>
        <v>0</v>
      </c>
      <c r="AA16" s="174">
        <f t="shared" si="10"/>
        <v>1</v>
      </c>
      <c r="AB16" s="5">
        <f t="shared" si="11"/>
        <v>5</v>
      </c>
      <c r="AC16" s="175" t="str">
        <f t="shared" si="12"/>
        <v>Extremo</v>
      </c>
    </row>
    <row r="17" spans="1:29" ht="30" x14ac:dyDescent="0.25">
      <c r="A17" s="172" t="str">
        <f>+'PRIORIZACIÓN (2)'!B19</f>
        <v>Seguimiento rol Empresa Ciudadela del Cuidado</v>
      </c>
      <c r="B17" s="180" t="str">
        <f>+IF('PRIORIZACIÓN (2)'!I19&gt;0%,"YA CUENTA CON PONDERACIÓN DE RIESGOS, NO DILIGENCIAR ANALISIS OCI", "DILIGENCIE ANALISIS OCI PARA ESTA UNIDAD AUDITABLE")</f>
        <v>YA CUENTA CON PONDERACIÓN DE RIESGOS, NO DILIGENCIAR ANALISIS OCI</v>
      </c>
      <c r="C17" s="176" t="s">
        <v>346</v>
      </c>
      <c r="D17" s="1"/>
      <c r="E17" s="1" t="s">
        <v>485</v>
      </c>
      <c r="F17" s="1"/>
      <c r="G17" s="177" t="s">
        <v>346</v>
      </c>
      <c r="H17" s="1"/>
      <c r="I17" s="177" t="s">
        <v>345</v>
      </c>
      <c r="J17" s="1"/>
      <c r="K17" s="1" t="s">
        <v>486</v>
      </c>
      <c r="L17" s="1"/>
      <c r="M17" s="1" t="s">
        <v>345</v>
      </c>
      <c r="N17" s="1"/>
      <c r="O17" s="1" t="s">
        <v>561</v>
      </c>
      <c r="P17" s="174" t="str">
        <f t="shared" si="3"/>
        <v>E</v>
      </c>
      <c r="Q17" s="1" t="str">
        <f t="shared" si="4"/>
        <v>E</v>
      </c>
      <c r="R17" s="1" t="str">
        <f t="shared" si="0"/>
        <v>B</v>
      </c>
      <c r="S17" s="1" t="str">
        <f t="shared" si="1"/>
        <v>E</v>
      </c>
      <c r="T17" s="1">
        <f t="shared" si="5"/>
        <v>0</v>
      </c>
      <c r="U17" s="1" t="str">
        <f t="shared" si="2"/>
        <v>E</v>
      </c>
      <c r="V17" s="1">
        <f t="shared" si="13"/>
        <v>0</v>
      </c>
      <c r="W17" s="173" t="str">
        <f t="shared" si="6"/>
        <v>E</v>
      </c>
      <c r="X17" s="5">
        <f t="shared" si="7"/>
        <v>4</v>
      </c>
      <c r="Y17" s="1">
        <f t="shared" si="8"/>
        <v>0</v>
      </c>
      <c r="Z17" s="1">
        <f t="shared" si="9"/>
        <v>0</v>
      </c>
      <c r="AA17" s="174">
        <f t="shared" si="10"/>
        <v>1</v>
      </c>
      <c r="AB17" s="5">
        <f t="shared" si="11"/>
        <v>5</v>
      </c>
      <c r="AC17" s="175" t="str">
        <f t="shared" si="12"/>
        <v>Extremo</v>
      </c>
    </row>
    <row r="18" spans="1:29" ht="45" x14ac:dyDescent="0.25">
      <c r="A18" s="172" t="str">
        <f>+'PRIORIZACIÓN (2)'!B20</f>
        <v xml:space="preserve">Apoyo realización comité de auditoría y seguimiento de los compromisos establecidos </v>
      </c>
      <c r="B18" s="180" t="str">
        <f>+IF('PRIORIZACIÓN (2)'!I20&gt;0%,"YA CUENTA CON PONDERACIÓN DE RIESGOS, NO DILIGENCIAR ANALISIS OCI", "DILIGENCIE ANALISIS OCI PARA ESTA UNIDAD AUDITABLE")</f>
        <v>YA CUENTA CON PONDERACIÓN DE RIESGOS, NO DILIGENCIAR ANALISIS OCI</v>
      </c>
      <c r="C18" s="176" t="s">
        <v>343</v>
      </c>
      <c r="D18" s="1"/>
      <c r="E18" s="1" t="s">
        <v>485</v>
      </c>
      <c r="F18" s="1"/>
      <c r="G18" s="177" t="s">
        <v>345</v>
      </c>
      <c r="H18" s="1"/>
      <c r="I18" s="177" t="s">
        <v>345</v>
      </c>
      <c r="J18" s="1"/>
      <c r="K18" s="1" t="s">
        <v>490</v>
      </c>
      <c r="L18" s="1"/>
      <c r="M18" s="1" t="s">
        <v>344</v>
      </c>
      <c r="N18" s="1"/>
      <c r="O18" s="1" t="s">
        <v>487</v>
      </c>
      <c r="P18" s="174" t="str">
        <f t="shared" ref="P18:P35" si="14">IF($O18="Critica no recuperable","E",IF($O18="Critica con recuperación parcial","A",IF($O18="Falta de oportunidad para atención usuarios","M",IF($O18="Falta de oportunidad para gestión de los procesos","B",0))))</f>
        <v>B</v>
      </c>
      <c r="Q18" s="1" t="str">
        <f t="shared" si="4"/>
        <v>B</v>
      </c>
      <c r="R18" s="1" t="str">
        <f t="shared" si="0"/>
        <v>B</v>
      </c>
      <c r="S18" s="1">
        <f t="shared" si="1"/>
        <v>0</v>
      </c>
      <c r="T18" s="1">
        <f t="shared" si="5"/>
        <v>0</v>
      </c>
      <c r="U18" s="1" t="str">
        <f t="shared" si="2"/>
        <v>M</v>
      </c>
      <c r="V18" s="1" t="str">
        <f t="shared" si="13"/>
        <v>M</v>
      </c>
      <c r="W18" s="173" t="str">
        <f t="shared" si="6"/>
        <v>B</v>
      </c>
      <c r="X18" s="5">
        <f t="shared" ref="X18:X23" si="15">COUNTIFS(Q18:W18,"E")</f>
        <v>0</v>
      </c>
      <c r="Y18" s="1">
        <f t="shared" ref="Y18:Y23" si="16">COUNTIF(Q18:W18,"A")</f>
        <v>0</v>
      </c>
      <c r="Z18" s="1">
        <f t="shared" ref="Z18:Z23" si="17">COUNTIF(Q18:W18,"M")</f>
        <v>2</v>
      </c>
      <c r="AA18" s="174">
        <f t="shared" ref="AA18:AA23" si="18">COUNTIF(Q18:W18,"B")</f>
        <v>3</v>
      </c>
      <c r="AB18" s="5">
        <f t="shared" ref="AB18:AB23" si="19">SUM(X18:AA18)</f>
        <v>5</v>
      </c>
      <c r="AC18" s="175" t="str">
        <f t="shared" ref="AC18:AC23" si="20">+IF((X18/AB18)&gt;=0.2,"Extremo",+IF(((X18/AB18)+(Y18/AB18))&gt;=0.3,"Alto",+IF(((X18/AB18)+(Y18/AB18)+(Z18/AB18))&gt;=0.4,"Moderado",+IF((X18/AB18)+(Y18/AB18)+(Z18/AB18)+(AA18/AB18)&gt;=0.5,"Bajo",""))))</f>
        <v>Moderado</v>
      </c>
    </row>
    <row r="19" spans="1:29" ht="105" x14ac:dyDescent="0.25">
      <c r="A19" s="172" t="str">
        <f>+'PRIORIZACIÓN (2)'!B21</f>
        <v>Proceso adquisición de suelo por enajenación voluntaria, expropiación administrativa o judicial - Adquisición proyectos Tercera Concurrencia - Adquisición proyecto San Bernardo Tercer Milenio AMD 1 – Convenio 3151-2019 suscrito con el IDRD.</v>
      </c>
      <c r="B19" s="180" t="str">
        <f>+IF('PRIORIZACIÓN (2)'!I21&gt;0%,"YA CUENTA CON PONDERACIÓN DE RIESGOS, NO DILIGENCIAR ANALISIS OCI", "DILIGENCIE ANALISIS OCI PARA ESTA UNIDAD AUDITABLE")</f>
        <v>YA CUENTA CON PONDERACIÓN DE RIESGOS, NO DILIGENCIAR ANALISIS OCI</v>
      </c>
      <c r="C19" s="176" t="s">
        <v>345</v>
      </c>
      <c r="D19" s="1"/>
      <c r="E19" s="1" t="s">
        <v>485</v>
      </c>
      <c r="F19" s="1"/>
      <c r="G19" s="177" t="s">
        <v>346</v>
      </c>
      <c r="H19" s="1"/>
      <c r="I19" s="177" t="s">
        <v>345</v>
      </c>
      <c r="J19" s="1"/>
      <c r="K19" s="1" t="s">
        <v>486</v>
      </c>
      <c r="L19" s="1"/>
      <c r="M19" s="1" t="s">
        <v>345</v>
      </c>
      <c r="N19" s="1"/>
      <c r="O19" s="1" t="s">
        <v>561</v>
      </c>
      <c r="P19" s="174" t="str">
        <f t="shared" si="14"/>
        <v>E</v>
      </c>
      <c r="Q19" s="1">
        <f t="shared" si="4"/>
        <v>0</v>
      </c>
      <c r="R19" s="1" t="str">
        <f t="shared" si="0"/>
        <v>B</v>
      </c>
      <c r="S19" s="1" t="str">
        <f t="shared" si="1"/>
        <v>E</v>
      </c>
      <c r="T19" s="1">
        <f t="shared" si="5"/>
        <v>0</v>
      </c>
      <c r="U19" s="1" t="str">
        <f t="shared" si="2"/>
        <v>E</v>
      </c>
      <c r="V19" s="1">
        <f t="shared" si="13"/>
        <v>0</v>
      </c>
      <c r="W19" s="173" t="str">
        <f t="shared" si="6"/>
        <v>E</v>
      </c>
      <c r="X19" s="5">
        <f t="shared" si="15"/>
        <v>3</v>
      </c>
      <c r="Y19" s="1">
        <f t="shared" si="16"/>
        <v>0</v>
      </c>
      <c r="Z19" s="1">
        <f t="shared" si="17"/>
        <v>0</v>
      </c>
      <c r="AA19" s="174">
        <f t="shared" si="18"/>
        <v>1</v>
      </c>
      <c r="AB19" s="5">
        <f t="shared" si="19"/>
        <v>4</v>
      </c>
      <c r="AC19" s="175" t="str">
        <f t="shared" si="20"/>
        <v>Extremo</v>
      </c>
    </row>
    <row r="20" spans="1:29" ht="45" x14ac:dyDescent="0.25">
      <c r="A20" s="172" t="str">
        <f>+'PRIORIZACIÓN (2)'!B22</f>
        <v>Maduración y Calidad en la construccion del anexo técnico para los proyectos - gestión contractual</v>
      </c>
      <c r="B20" s="180" t="str">
        <f>+IF('PRIORIZACIÓN (2)'!I22&gt;0%,"YA CUENTA CON PONDERACIÓN DE RIESGOS, NO DILIGENCIAR ANALISIS OCI", "DILIGENCIE ANALISIS OCI PARA ESTA UNIDAD AUDITABLE")</f>
        <v>YA CUENTA CON PONDERACIÓN DE RIESGOS, NO DILIGENCIAR ANALISIS OCI</v>
      </c>
      <c r="C20" s="176" t="s">
        <v>343</v>
      </c>
      <c r="D20" s="1"/>
      <c r="E20" s="1" t="s">
        <v>485</v>
      </c>
      <c r="F20" s="1"/>
      <c r="G20" s="177" t="s">
        <v>345</v>
      </c>
      <c r="H20" s="1"/>
      <c r="I20" s="177" t="s">
        <v>345</v>
      </c>
      <c r="J20" s="1"/>
      <c r="K20" s="1" t="s">
        <v>490</v>
      </c>
      <c r="L20" s="1"/>
      <c r="M20" s="1" t="s">
        <v>344</v>
      </c>
      <c r="N20" s="1"/>
      <c r="O20" s="1" t="s">
        <v>487</v>
      </c>
      <c r="P20" s="174" t="str">
        <f t="shared" si="14"/>
        <v>B</v>
      </c>
      <c r="Q20" s="1" t="str">
        <f t="shared" si="4"/>
        <v>B</v>
      </c>
      <c r="R20" s="1" t="str">
        <f t="shared" si="0"/>
        <v>B</v>
      </c>
      <c r="S20" s="1">
        <f t="shared" si="1"/>
        <v>0</v>
      </c>
      <c r="T20" s="1">
        <f t="shared" si="5"/>
        <v>0</v>
      </c>
      <c r="U20" s="1" t="str">
        <f t="shared" si="2"/>
        <v>M</v>
      </c>
      <c r="V20" s="1" t="str">
        <f t="shared" si="13"/>
        <v>M</v>
      </c>
      <c r="W20" s="173" t="str">
        <f t="shared" si="6"/>
        <v>B</v>
      </c>
      <c r="X20" s="5">
        <f t="shared" si="15"/>
        <v>0</v>
      </c>
      <c r="Y20" s="1">
        <f t="shared" si="16"/>
        <v>0</v>
      </c>
      <c r="Z20" s="1">
        <f t="shared" si="17"/>
        <v>2</v>
      </c>
      <c r="AA20" s="174">
        <f t="shared" si="18"/>
        <v>3</v>
      </c>
      <c r="AB20" s="5">
        <f t="shared" si="19"/>
        <v>5</v>
      </c>
      <c r="AC20" s="175" t="str">
        <f t="shared" si="20"/>
        <v>Moderado</v>
      </c>
    </row>
    <row r="21" spans="1:29" ht="30" x14ac:dyDescent="0.25">
      <c r="A21" s="172" t="e">
        <f>+'PRIORIZACIÓN (2)'!B23</f>
        <v>#REF!</v>
      </c>
      <c r="B21" s="180" t="str">
        <f>+IF('PRIORIZACIÓN (2)'!I23&gt;0%,"YA CUENTA CON PONDERACIÓN DE RIESGOS, NO DILIGENCIAR ANALISIS OCI", "DILIGENCIE ANALISIS OCI PARA ESTA UNIDAD AUDITABLE")</f>
        <v>YA CUENTA CON PONDERACIÓN DE RIESGOS, NO DILIGENCIAR ANALISIS OCI</v>
      </c>
      <c r="C21" s="176" t="s">
        <v>343</v>
      </c>
      <c r="D21" s="1"/>
      <c r="E21" s="1" t="s">
        <v>485</v>
      </c>
      <c r="F21" s="1"/>
      <c r="G21" s="177" t="s">
        <v>345</v>
      </c>
      <c r="H21" s="1"/>
      <c r="I21" s="177" t="s">
        <v>345</v>
      </c>
      <c r="J21" s="1"/>
      <c r="K21" s="1" t="s">
        <v>490</v>
      </c>
      <c r="L21" s="1"/>
      <c r="M21" s="1" t="s">
        <v>344</v>
      </c>
      <c r="N21" s="1"/>
      <c r="O21" s="1" t="s">
        <v>487</v>
      </c>
      <c r="P21" s="174" t="str">
        <f t="shared" si="14"/>
        <v>B</v>
      </c>
      <c r="Q21" s="1" t="str">
        <f t="shared" si="4"/>
        <v>B</v>
      </c>
      <c r="R21" s="1" t="str">
        <f t="shared" si="0"/>
        <v>B</v>
      </c>
      <c r="S21" s="1">
        <f t="shared" si="1"/>
        <v>0</v>
      </c>
      <c r="T21" s="1">
        <f t="shared" si="5"/>
        <v>0</v>
      </c>
      <c r="U21" s="1" t="str">
        <f t="shared" si="2"/>
        <v>M</v>
      </c>
      <c r="V21" s="1" t="str">
        <f t="shared" si="13"/>
        <v>M</v>
      </c>
      <c r="W21" s="173" t="str">
        <f t="shared" si="6"/>
        <v>B</v>
      </c>
      <c r="X21" s="5">
        <f t="shared" si="15"/>
        <v>0</v>
      </c>
      <c r="Y21" s="1">
        <f t="shared" si="16"/>
        <v>0</v>
      </c>
      <c r="Z21" s="1">
        <f t="shared" si="17"/>
        <v>2</v>
      </c>
      <c r="AA21" s="174">
        <f t="shared" si="18"/>
        <v>3</v>
      </c>
      <c r="AB21" s="5">
        <f t="shared" si="19"/>
        <v>5</v>
      </c>
      <c r="AC21" s="175" t="str">
        <f t="shared" si="20"/>
        <v>Moderado</v>
      </c>
    </row>
    <row r="22" spans="1:29" ht="43.5" customHeight="1" x14ac:dyDescent="0.25">
      <c r="A22" s="172" t="str">
        <f>+'PRIORIZACIÓN (2)'!B24</f>
        <v>Auditoria implementación sistema de información SIM</v>
      </c>
      <c r="B22" s="180" t="str">
        <f>+IF('PRIORIZACIÓN (2)'!I24&gt;0%,"YA CUENTA CON PONDERACIÓN DE RIESGOS, NO DILIGENCIAR ANALISIS OCI", "DILIGENCIE ANALISIS OCI PARA ESTA UNIDAD AUDITABLE")</f>
        <v>YA CUENTA CON PONDERACIÓN DE RIESGOS, NO DILIGENCIAR ANALISIS OCI</v>
      </c>
      <c r="C22" s="176" t="s">
        <v>345</v>
      </c>
      <c r="D22" s="1"/>
      <c r="E22" s="1" t="s">
        <v>485</v>
      </c>
      <c r="F22" s="1"/>
      <c r="G22" s="177" t="s">
        <v>345</v>
      </c>
      <c r="H22" s="1"/>
      <c r="I22" s="177" t="s">
        <v>345</v>
      </c>
      <c r="J22" s="1"/>
      <c r="K22" s="1" t="s">
        <v>486</v>
      </c>
      <c r="L22" s="1"/>
      <c r="M22" s="1" t="s">
        <v>344</v>
      </c>
      <c r="N22" s="1"/>
      <c r="O22" s="1" t="s">
        <v>487</v>
      </c>
      <c r="P22" s="174" t="str">
        <f t="shared" si="14"/>
        <v>B</v>
      </c>
      <c r="Q22" s="1">
        <f t="shared" si="4"/>
        <v>0</v>
      </c>
      <c r="R22" s="1" t="str">
        <f t="shared" si="0"/>
        <v>B</v>
      </c>
      <c r="S22" s="1">
        <f t="shared" si="1"/>
        <v>0</v>
      </c>
      <c r="T22" s="1">
        <f t="shared" si="5"/>
        <v>0</v>
      </c>
      <c r="U22" s="1" t="str">
        <f t="shared" si="2"/>
        <v>E</v>
      </c>
      <c r="V22" s="1" t="str">
        <f t="shared" si="13"/>
        <v>M</v>
      </c>
      <c r="W22" s="173" t="str">
        <f t="shared" si="6"/>
        <v>B</v>
      </c>
      <c r="X22" s="5">
        <f t="shared" si="15"/>
        <v>1</v>
      </c>
      <c r="Y22" s="1">
        <f t="shared" si="16"/>
        <v>0</v>
      </c>
      <c r="Z22" s="1">
        <f t="shared" si="17"/>
        <v>1</v>
      </c>
      <c r="AA22" s="174">
        <f t="shared" si="18"/>
        <v>2</v>
      </c>
      <c r="AB22" s="5">
        <f t="shared" si="19"/>
        <v>4</v>
      </c>
      <c r="AC22" s="175" t="str">
        <f t="shared" si="20"/>
        <v>Extremo</v>
      </c>
    </row>
    <row r="23" spans="1:29" ht="30" x14ac:dyDescent="0.25">
      <c r="A23" s="172" t="str">
        <f>+'PRIORIZACIÓN (2)'!B25</f>
        <v>Auditoria proyecto misional 1 (proyecto san Bernardo)</v>
      </c>
      <c r="B23" s="180" t="str">
        <f>+IF('PRIORIZACIÓN (2)'!I25&gt;0%,"YA CUENTA CON PONDERACIÓN DE RIESGOS, NO DILIGENCIAR ANALISIS OCI", "DILIGENCIE ANALISIS OCI PARA ESTA UNIDAD AUDITABLE")</f>
        <v>YA CUENTA CON PONDERACIÓN DE RIESGOS, NO DILIGENCIAR ANALISIS OCI</v>
      </c>
      <c r="C23" s="176" t="s">
        <v>345</v>
      </c>
      <c r="D23" s="1"/>
      <c r="E23" s="1" t="s">
        <v>485</v>
      </c>
      <c r="F23" s="1"/>
      <c r="G23" s="177" t="s">
        <v>345</v>
      </c>
      <c r="H23" s="1"/>
      <c r="I23" s="177" t="s">
        <v>345</v>
      </c>
      <c r="J23" s="1"/>
      <c r="K23" s="1" t="s">
        <v>486</v>
      </c>
      <c r="L23" s="1"/>
      <c r="M23" s="1" t="s">
        <v>344</v>
      </c>
      <c r="N23" s="1"/>
      <c r="O23" s="1" t="s">
        <v>487</v>
      </c>
      <c r="P23" s="174" t="str">
        <f t="shared" si="14"/>
        <v>B</v>
      </c>
      <c r="Q23" s="1">
        <f t="shared" si="4"/>
        <v>0</v>
      </c>
      <c r="R23" s="1" t="str">
        <f t="shared" si="0"/>
        <v>B</v>
      </c>
      <c r="S23" s="1">
        <f t="shared" si="1"/>
        <v>0</v>
      </c>
      <c r="T23" s="1">
        <f t="shared" si="5"/>
        <v>0</v>
      </c>
      <c r="U23" s="1" t="str">
        <f t="shared" si="2"/>
        <v>E</v>
      </c>
      <c r="V23" s="1" t="str">
        <f t="shared" si="13"/>
        <v>M</v>
      </c>
      <c r="W23" s="173" t="str">
        <f t="shared" si="6"/>
        <v>B</v>
      </c>
      <c r="X23" s="5">
        <f t="shared" si="15"/>
        <v>1</v>
      </c>
      <c r="Y23" s="1">
        <f t="shared" si="16"/>
        <v>0</v>
      </c>
      <c r="Z23" s="1">
        <f t="shared" si="17"/>
        <v>1</v>
      </c>
      <c r="AA23" s="174">
        <f t="shared" si="18"/>
        <v>2</v>
      </c>
      <c r="AB23" s="5">
        <f t="shared" si="19"/>
        <v>4</v>
      </c>
      <c r="AC23" s="175" t="str">
        <f t="shared" si="20"/>
        <v>Extremo</v>
      </c>
    </row>
    <row r="24" spans="1:29" ht="42" customHeight="1" x14ac:dyDescent="0.25">
      <c r="A24" s="172" t="str">
        <f>+'PRIORIZACIÓN (2)'!B26</f>
        <v>Auditoria proyecto misional 2 (Actuaciones Estrategicas)</v>
      </c>
      <c r="B24" s="180" t="str">
        <f>+IF('PRIORIZACIÓN (2)'!I26&gt;0%,"YA CUENTA CON PONDERACIÓN DE RIESGOS, NO DILIGENCIAR ANALISIS OCI", "DILIGENCIE ANALISIS OCI PARA ESTA UNIDAD AUDITABLE")</f>
        <v>YA CUENTA CON PONDERACIÓN DE RIESGOS, NO DILIGENCIAR ANALISIS OCI</v>
      </c>
      <c r="C24" s="176" t="s">
        <v>345</v>
      </c>
      <c r="D24" s="1"/>
      <c r="E24" s="1" t="s">
        <v>485</v>
      </c>
      <c r="F24" s="1"/>
      <c r="G24" s="177" t="s">
        <v>345</v>
      </c>
      <c r="H24" s="1"/>
      <c r="I24" s="177" t="s">
        <v>345</v>
      </c>
      <c r="J24" s="1"/>
      <c r="K24" s="1" t="s">
        <v>486</v>
      </c>
      <c r="L24" s="1"/>
      <c r="M24" s="1" t="s">
        <v>344</v>
      </c>
      <c r="N24" s="1"/>
      <c r="O24" s="1" t="s">
        <v>487</v>
      </c>
      <c r="P24" s="174" t="str">
        <f t="shared" si="14"/>
        <v>B</v>
      </c>
      <c r="Q24" s="1">
        <f t="shared" si="4"/>
        <v>0</v>
      </c>
      <c r="R24" s="1" t="str">
        <f t="shared" si="0"/>
        <v>B</v>
      </c>
      <c r="S24" s="1">
        <f t="shared" si="1"/>
        <v>0</v>
      </c>
      <c r="T24" s="1">
        <f t="shared" si="5"/>
        <v>0</v>
      </c>
      <c r="U24" s="1" t="str">
        <f t="shared" si="2"/>
        <v>E</v>
      </c>
      <c r="V24" s="1" t="str">
        <f t="shared" si="13"/>
        <v>M</v>
      </c>
      <c r="W24" s="173" t="str">
        <f t="shared" si="6"/>
        <v>B</v>
      </c>
      <c r="X24" s="5">
        <f t="shared" ref="X24:X33" si="21">COUNTIFS(Q24:W24,"E")</f>
        <v>1</v>
      </c>
      <c r="Y24" s="1">
        <f t="shared" ref="Y24:Y33" si="22">COUNTIF(Q24:W24,"A")</f>
        <v>0</v>
      </c>
      <c r="Z24" s="1">
        <f t="shared" ref="Z24:Z33" si="23">COUNTIF(Q24:W24,"M")</f>
        <v>1</v>
      </c>
      <c r="AA24" s="174">
        <f t="shared" ref="AA24:AA33" si="24">COUNTIF(Q24:W24,"B")</f>
        <v>2</v>
      </c>
      <c r="AB24" s="5">
        <f t="shared" ref="AB24:AB33" si="25">SUM(X24:AA24)</f>
        <v>4</v>
      </c>
      <c r="AC24" s="175" t="str">
        <f t="shared" ref="AC24:AC33" si="26">+IF((X24/AB24)&gt;=0.2,"Extremo",+IF(((X24/AB24)+(Y24/AB24))&gt;=0.3,"Alto",+IF(((X24/AB24)+(Y24/AB24)+(Z24/AB24))&gt;=0.4,"Moderado",+IF((X24/AB24)+(Y24/AB24)+(Z24/AB24)+(AA24/AB24)&gt;=0.5,"Bajo",""))))</f>
        <v>Extremo</v>
      </c>
    </row>
    <row r="25" spans="1:29" ht="30" x14ac:dyDescent="0.25">
      <c r="A25" s="172" t="str">
        <f>+'PRIORIZACIÓN (2)'!B27</f>
        <v>Auditoria de Gestión Contractual</v>
      </c>
      <c r="B25" s="180" t="str">
        <f>+IF('PRIORIZACIÓN (2)'!I27&gt;0%,"YA CUENTA CON PONDERACIÓN DE RIESGOS, NO DILIGENCIAR ANALISIS OCI", "DILIGENCIE ANALISIS OCI PARA ESTA UNIDAD AUDITABLE")</f>
        <v>YA CUENTA CON PONDERACIÓN DE RIESGOS, NO DILIGENCIAR ANALISIS OCI</v>
      </c>
      <c r="C25" s="176" t="s">
        <v>343</v>
      </c>
      <c r="D25" s="1"/>
      <c r="E25" s="1" t="s">
        <v>485</v>
      </c>
      <c r="F25" s="1"/>
      <c r="G25" s="177" t="s">
        <v>345</v>
      </c>
      <c r="H25" s="1"/>
      <c r="I25" s="177" t="s">
        <v>343</v>
      </c>
      <c r="J25" s="1"/>
      <c r="K25" s="1" t="s">
        <v>488</v>
      </c>
      <c r="L25" s="1"/>
      <c r="M25" s="1" t="s">
        <v>344</v>
      </c>
      <c r="N25" s="1"/>
      <c r="O25" s="1" t="s">
        <v>487</v>
      </c>
      <c r="P25" s="174" t="str">
        <f t="shared" si="14"/>
        <v>B</v>
      </c>
      <c r="Q25" s="1" t="str">
        <f t="shared" si="4"/>
        <v>B</v>
      </c>
      <c r="R25" s="1" t="str">
        <f t="shared" si="0"/>
        <v>B</v>
      </c>
      <c r="S25" s="1">
        <f t="shared" si="1"/>
        <v>0</v>
      </c>
      <c r="T25" s="1" t="str">
        <f t="shared" si="5"/>
        <v>B</v>
      </c>
      <c r="U25" s="1" t="str">
        <f t="shared" si="2"/>
        <v>A</v>
      </c>
      <c r="V25" s="1" t="str">
        <f t="shared" si="13"/>
        <v>M</v>
      </c>
      <c r="W25" s="173" t="str">
        <f t="shared" si="6"/>
        <v>B</v>
      </c>
      <c r="X25" s="5">
        <f t="shared" si="21"/>
        <v>0</v>
      </c>
      <c r="Y25" s="1">
        <f t="shared" si="22"/>
        <v>1</v>
      </c>
      <c r="Z25" s="1">
        <f t="shared" si="23"/>
        <v>1</v>
      </c>
      <c r="AA25" s="174">
        <f t="shared" si="24"/>
        <v>4</v>
      </c>
      <c r="AB25" s="5">
        <f t="shared" si="25"/>
        <v>6</v>
      </c>
      <c r="AC25" s="175" t="str">
        <f t="shared" si="26"/>
        <v>Bajo</v>
      </c>
    </row>
    <row r="26" spans="1:29" ht="42" customHeight="1" x14ac:dyDescent="0.25">
      <c r="A26" s="172" t="str">
        <f>+'PRIORIZACIÓN (2)'!B28</f>
        <v>Auditoria proceso administrativo 1 (Esquema Fiduciario)</v>
      </c>
      <c r="B26" s="180" t="str">
        <f>+IF('PRIORIZACIÓN (2)'!I28&gt;0%,"YA CUENTA CON PONDERACIÓN DE RIESGOS, NO DILIGENCIAR ANALISIS OCI", "DILIGENCIE ANALISIS OCI PARA ESTA UNIDAD AUDITABLE")</f>
        <v>YA CUENTA CON PONDERACIÓN DE RIESGOS, NO DILIGENCIAR ANALISIS OCI</v>
      </c>
      <c r="C26" s="176" t="s">
        <v>345</v>
      </c>
      <c r="D26" s="1"/>
      <c r="E26" s="1" t="s">
        <v>485</v>
      </c>
      <c r="F26" s="1"/>
      <c r="G26" s="177" t="s">
        <v>345</v>
      </c>
      <c r="H26" s="1"/>
      <c r="I26" s="177" t="s">
        <v>345</v>
      </c>
      <c r="J26" s="1"/>
      <c r="K26" s="1" t="s">
        <v>488</v>
      </c>
      <c r="L26" s="1"/>
      <c r="M26" s="1" t="s">
        <v>345</v>
      </c>
      <c r="N26" s="1"/>
      <c r="O26" s="1" t="s">
        <v>489</v>
      </c>
      <c r="P26" s="174" t="str">
        <f t="shared" si="14"/>
        <v>M</v>
      </c>
      <c r="Q26" s="1">
        <f t="shared" si="4"/>
        <v>0</v>
      </c>
      <c r="R26" s="1" t="str">
        <f t="shared" si="0"/>
        <v>B</v>
      </c>
      <c r="S26" s="1">
        <f t="shared" si="1"/>
        <v>0</v>
      </c>
      <c r="T26" s="1">
        <f t="shared" si="5"/>
        <v>0</v>
      </c>
      <c r="U26" s="1" t="str">
        <f t="shared" si="2"/>
        <v>A</v>
      </c>
      <c r="V26" s="1">
        <f t="shared" si="13"/>
        <v>0</v>
      </c>
      <c r="W26" s="173" t="str">
        <f t="shared" si="6"/>
        <v>M</v>
      </c>
      <c r="X26" s="5">
        <f t="shared" si="21"/>
        <v>0</v>
      </c>
      <c r="Y26" s="1">
        <f t="shared" si="22"/>
        <v>1</v>
      </c>
      <c r="Z26" s="1">
        <f t="shared" si="23"/>
        <v>1</v>
      </c>
      <c r="AA26" s="174">
        <f t="shared" si="24"/>
        <v>1</v>
      </c>
      <c r="AB26" s="5">
        <f t="shared" si="25"/>
        <v>3</v>
      </c>
      <c r="AC26" s="175" t="str">
        <f t="shared" si="26"/>
        <v>Alto</v>
      </c>
    </row>
    <row r="27" spans="1:29" ht="45" x14ac:dyDescent="0.25">
      <c r="A27" s="172" t="str">
        <f>+'PRIORIZACIÓN (2)'!B29</f>
        <v>Alcaldía los Mártires - Avance Obra - Cumplimiento cronogramas y ejecución presupuestal</v>
      </c>
      <c r="B27" s="180" t="str">
        <f>+IF('PRIORIZACIÓN (2)'!I29&gt;0%,"YA CUENTA CON PONDERACIÓN DE RIESGOS, NO DILIGENCIAR ANALISIS OCI", "DILIGENCIE ANALISIS OCI PARA ESTA UNIDAD AUDITABLE")</f>
        <v>YA CUENTA CON PONDERACIÓN DE RIESGOS, NO DILIGENCIAR ANALISIS OCI</v>
      </c>
      <c r="C27" s="176" t="s">
        <v>345</v>
      </c>
      <c r="D27" s="1"/>
      <c r="E27" s="1" t="s">
        <v>485</v>
      </c>
      <c r="F27" s="1"/>
      <c r="G27" s="177" t="s">
        <v>345</v>
      </c>
      <c r="H27" s="1"/>
      <c r="I27" s="177" t="s">
        <v>345</v>
      </c>
      <c r="J27" s="1"/>
      <c r="K27" s="1" t="s">
        <v>486</v>
      </c>
      <c r="L27" s="1"/>
      <c r="M27" s="1" t="s">
        <v>344</v>
      </c>
      <c r="N27" s="1"/>
      <c r="O27" s="1" t="s">
        <v>487</v>
      </c>
      <c r="P27" s="174" t="str">
        <f t="shared" si="14"/>
        <v>B</v>
      </c>
      <c r="Q27" s="1">
        <f t="shared" si="4"/>
        <v>0</v>
      </c>
      <c r="R27" s="1" t="str">
        <f t="shared" si="0"/>
        <v>B</v>
      </c>
      <c r="S27" s="1">
        <f t="shared" si="1"/>
        <v>0</v>
      </c>
      <c r="T27" s="1">
        <f t="shared" si="5"/>
        <v>0</v>
      </c>
      <c r="U27" s="1" t="str">
        <f t="shared" si="2"/>
        <v>E</v>
      </c>
      <c r="V27" s="1" t="str">
        <f t="shared" si="13"/>
        <v>M</v>
      </c>
      <c r="W27" s="173" t="str">
        <f t="shared" si="6"/>
        <v>B</v>
      </c>
      <c r="X27" s="5">
        <f t="shared" si="21"/>
        <v>1</v>
      </c>
      <c r="Y27" s="1">
        <f t="shared" si="22"/>
        <v>0</v>
      </c>
      <c r="Z27" s="1">
        <f t="shared" si="23"/>
        <v>1</v>
      </c>
      <c r="AA27" s="174">
        <f t="shared" si="24"/>
        <v>2</v>
      </c>
      <c r="AB27" s="5">
        <f t="shared" si="25"/>
        <v>4</v>
      </c>
      <c r="AC27" s="175" t="str">
        <f t="shared" si="26"/>
        <v>Extremo</v>
      </c>
    </row>
    <row r="28" spans="1:29" ht="45" x14ac:dyDescent="0.25">
      <c r="A28" s="172" t="str">
        <f>+'PRIORIZACIÓN (2)'!B30</f>
        <v>Bronx Distrito Creativo  - Avance Obra - Cumplimiento cronogramas y ejecución presupuestal</v>
      </c>
      <c r="B28" s="180" t="str">
        <f>+IF('PRIORIZACIÓN (2)'!I30&gt;0%,"YA CUENTA CON PONDERACIÓN DE RIESGOS, NO DILIGENCIAR ANALISIS OCI", "DILIGENCIE ANALISIS OCI PARA ESTA UNIDAD AUDITABLE")</f>
        <v>YA CUENTA CON PONDERACIÓN DE RIESGOS, NO DILIGENCIAR ANALISIS OCI</v>
      </c>
      <c r="C28" s="176" t="s">
        <v>345</v>
      </c>
      <c r="D28" s="1"/>
      <c r="E28" s="1" t="s">
        <v>485</v>
      </c>
      <c r="F28" s="1"/>
      <c r="G28" s="177" t="s">
        <v>345</v>
      </c>
      <c r="H28" s="1"/>
      <c r="I28" s="177" t="s">
        <v>345</v>
      </c>
      <c r="J28" s="1"/>
      <c r="K28" s="1" t="s">
        <v>488</v>
      </c>
      <c r="L28" s="1"/>
      <c r="M28" s="1" t="s">
        <v>345</v>
      </c>
      <c r="N28" s="1"/>
      <c r="O28" s="1" t="s">
        <v>489</v>
      </c>
      <c r="P28" s="174" t="str">
        <f t="shared" si="14"/>
        <v>M</v>
      </c>
      <c r="Q28" s="1">
        <f t="shared" si="4"/>
        <v>0</v>
      </c>
      <c r="R28" s="1" t="str">
        <f t="shared" si="0"/>
        <v>B</v>
      </c>
      <c r="S28" s="1">
        <f t="shared" si="1"/>
        <v>0</v>
      </c>
      <c r="T28" s="1">
        <f t="shared" si="5"/>
        <v>0</v>
      </c>
      <c r="U28" s="1" t="str">
        <f t="shared" si="2"/>
        <v>A</v>
      </c>
      <c r="V28" s="1">
        <f t="shared" si="13"/>
        <v>0</v>
      </c>
      <c r="W28" s="173" t="str">
        <f t="shared" si="6"/>
        <v>M</v>
      </c>
      <c r="X28" s="5">
        <f t="shared" si="21"/>
        <v>0</v>
      </c>
      <c r="Y28" s="1">
        <f t="shared" si="22"/>
        <v>1</v>
      </c>
      <c r="Z28" s="1">
        <f t="shared" si="23"/>
        <v>1</v>
      </c>
      <c r="AA28" s="174">
        <f t="shared" si="24"/>
        <v>1</v>
      </c>
      <c r="AB28" s="5">
        <f t="shared" si="25"/>
        <v>3</v>
      </c>
      <c r="AC28" s="175" t="str">
        <f t="shared" si="26"/>
        <v>Alto</v>
      </c>
    </row>
    <row r="29" spans="1:29" ht="45" x14ac:dyDescent="0.25">
      <c r="A29" s="172" t="str">
        <f>+'PRIORIZACIÓN (2)'!B31</f>
        <v>Centro de Formación para el trabajo (SENA)  - Avance Obra - Cumplimiento cronogramas y ejecución presupuestal</v>
      </c>
      <c r="B29" s="180" t="str">
        <f>+IF('PRIORIZACIÓN (2)'!I31&gt;0%,"YA CUENTA CON PONDERACIÓN DE RIESGOS, NO DILIGENCIAR ANALISIS OCI", "DILIGENCIE ANALISIS OCI PARA ESTA UNIDAD AUDITABLE")</f>
        <v>YA CUENTA CON PONDERACIÓN DE RIESGOS, NO DILIGENCIAR ANALISIS OCI</v>
      </c>
      <c r="C29" s="176" t="s">
        <v>345</v>
      </c>
      <c r="D29" s="1"/>
      <c r="E29" s="1" t="s">
        <v>485</v>
      </c>
      <c r="F29" s="1"/>
      <c r="G29" s="177" t="s">
        <v>345</v>
      </c>
      <c r="H29" s="1"/>
      <c r="I29" s="177" t="s">
        <v>345</v>
      </c>
      <c r="J29" s="1"/>
      <c r="K29" s="1" t="s">
        <v>488</v>
      </c>
      <c r="L29" s="1"/>
      <c r="M29" s="1" t="s">
        <v>345</v>
      </c>
      <c r="N29" s="1"/>
      <c r="O29" s="1" t="s">
        <v>489</v>
      </c>
      <c r="P29" s="174" t="str">
        <f t="shared" si="14"/>
        <v>M</v>
      </c>
      <c r="Q29" s="1">
        <f t="shared" si="4"/>
        <v>0</v>
      </c>
      <c r="R29" s="1" t="str">
        <f t="shared" si="0"/>
        <v>B</v>
      </c>
      <c r="S29" s="1">
        <f t="shared" si="1"/>
        <v>0</v>
      </c>
      <c r="T29" s="1">
        <f t="shared" si="5"/>
        <v>0</v>
      </c>
      <c r="U29" s="1" t="str">
        <f t="shared" si="2"/>
        <v>A</v>
      </c>
      <c r="V29" s="1">
        <f t="shared" si="13"/>
        <v>0</v>
      </c>
      <c r="W29" s="173" t="str">
        <f t="shared" si="6"/>
        <v>M</v>
      </c>
      <c r="X29" s="5">
        <f t="shared" si="21"/>
        <v>0</v>
      </c>
      <c r="Y29" s="1">
        <f t="shared" si="22"/>
        <v>1</v>
      </c>
      <c r="Z29" s="1">
        <f t="shared" si="23"/>
        <v>1</v>
      </c>
      <c r="AA29" s="174">
        <f t="shared" si="24"/>
        <v>1</v>
      </c>
      <c r="AB29" s="5">
        <f t="shared" si="25"/>
        <v>3</v>
      </c>
      <c r="AC29" s="175" t="str">
        <f t="shared" si="26"/>
        <v>Alto</v>
      </c>
    </row>
    <row r="30" spans="1:29" ht="30" x14ac:dyDescent="0.25">
      <c r="A30" s="172" t="str">
        <f>+'PRIORIZACIÓN (2)'!B32</f>
        <v>Direccionamiento Estratégico y Gobierno Corporativo</v>
      </c>
      <c r="B30" s="180" t="str">
        <f>+IF('PRIORIZACIÓN (2)'!I32&gt;0%,"YA CUENTA CON PONDERACIÓN DE RIESGOS, NO DILIGENCIAR ANALISIS OCI", "DILIGENCIE ANALISIS OCI PARA ESTA UNIDAD AUDITABLE")</f>
        <v>YA CUENTA CON PONDERACIÓN DE RIESGOS, NO DILIGENCIAR ANALISIS OCI</v>
      </c>
      <c r="C30" s="176" t="s">
        <v>345</v>
      </c>
      <c r="D30" s="1"/>
      <c r="E30" s="1" t="s">
        <v>485</v>
      </c>
      <c r="F30" s="1"/>
      <c r="G30" s="177" t="s">
        <v>345</v>
      </c>
      <c r="H30" s="1"/>
      <c r="I30" s="177" t="s">
        <v>343</v>
      </c>
      <c r="J30" s="1"/>
      <c r="K30" s="1" t="s">
        <v>490</v>
      </c>
      <c r="L30" s="1"/>
      <c r="M30" s="1" t="s">
        <v>345</v>
      </c>
      <c r="N30" s="1"/>
      <c r="O30" s="1" t="s">
        <v>489</v>
      </c>
      <c r="P30" s="174" t="str">
        <f t="shared" si="14"/>
        <v>M</v>
      </c>
      <c r="Q30" s="1">
        <f t="shared" si="4"/>
        <v>0</v>
      </c>
      <c r="R30" s="1" t="str">
        <f t="shared" si="0"/>
        <v>B</v>
      </c>
      <c r="S30" s="1">
        <f t="shared" si="1"/>
        <v>0</v>
      </c>
      <c r="T30" s="1" t="str">
        <f t="shared" si="5"/>
        <v>B</v>
      </c>
      <c r="U30" s="1" t="str">
        <f t="shared" si="2"/>
        <v>M</v>
      </c>
      <c r="V30" s="1">
        <f t="shared" si="13"/>
        <v>0</v>
      </c>
      <c r="W30" s="173" t="str">
        <f t="shared" si="6"/>
        <v>M</v>
      </c>
      <c r="X30" s="5">
        <f t="shared" si="21"/>
        <v>0</v>
      </c>
      <c r="Y30" s="1">
        <f t="shared" si="22"/>
        <v>0</v>
      </c>
      <c r="Z30" s="1">
        <f t="shared" si="23"/>
        <v>2</v>
      </c>
      <c r="AA30" s="174">
        <f t="shared" si="24"/>
        <v>2</v>
      </c>
      <c r="AB30" s="5">
        <f t="shared" si="25"/>
        <v>4</v>
      </c>
      <c r="AC30" s="175" t="str">
        <f t="shared" si="26"/>
        <v>Moderado</v>
      </c>
    </row>
    <row r="31" spans="1:29" ht="30" x14ac:dyDescent="0.25">
      <c r="A31" s="172" t="str">
        <f>+'PRIORIZACIÓN (2)'!B33</f>
        <v>Seguimiento Cumplimiento Norma Archivística ERU</v>
      </c>
      <c r="B31" s="180" t="str">
        <f>+IF('PRIORIZACIÓN (2)'!I33&gt;0%,"YA CUENTA CON PONDERACIÓN DE RIESGOS, NO DILIGENCIAR ANALISIS OCI", "DILIGENCIE ANALISIS OCI PARA ESTA UNIDAD AUDITABLE")</f>
        <v>YA CUENTA CON PONDERACIÓN DE RIESGOS, NO DILIGENCIAR ANALISIS OCI</v>
      </c>
      <c r="C31" s="176" t="s">
        <v>345</v>
      </c>
      <c r="D31" s="1"/>
      <c r="E31" s="1" t="s">
        <v>485</v>
      </c>
      <c r="F31" s="1"/>
      <c r="G31" s="177" t="s">
        <v>345</v>
      </c>
      <c r="H31" s="1"/>
      <c r="I31" s="177" t="s">
        <v>343</v>
      </c>
      <c r="J31" s="1"/>
      <c r="K31" s="1" t="s">
        <v>486</v>
      </c>
      <c r="L31" s="1"/>
      <c r="M31" s="1" t="s">
        <v>345</v>
      </c>
      <c r="N31" s="1"/>
      <c r="O31" s="1" t="s">
        <v>487</v>
      </c>
      <c r="P31" s="174" t="str">
        <f t="shared" si="14"/>
        <v>B</v>
      </c>
      <c r="Q31" s="1">
        <f t="shared" si="4"/>
        <v>0</v>
      </c>
      <c r="R31" s="1" t="str">
        <f t="shared" si="0"/>
        <v>B</v>
      </c>
      <c r="S31" s="1">
        <f t="shared" si="1"/>
        <v>0</v>
      </c>
      <c r="T31" s="1" t="str">
        <f t="shared" si="5"/>
        <v>B</v>
      </c>
      <c r="U31" s="1" t="str">
        <f t="shared" si="2"/>
        <v>E</v>
      </c>
      <c r="V31" s="1">
        <f t="shared" si="13"/>
        <v>0</v>
      </c>
      <c r="W31" s="173" t="str">
        <f t="shared" si="6"/>
        <v>B</v>
      </c>
      <c r="X31" s="5">
        <f t="shared" si="21"/>
        <v>1</v>
      </c>
      <c r="Y31" s="1">
        <f t="shared" si="22"/>
        <v>0</v>
      </c>
      <c r="Z31" s="1">
        <f t="shared" si="23"/>
        <v>0</v>
      </c>
      <c r="AA31" s="174">
        <f t="shared" si="24"/>
        <v>3</v>
      </c>
      <c r="AB31" s="5">
        <f t="shared" si="25"/>
        <v>4</v>
      </c>
      <c r="AC31" s="175" t="str">
        <f t="shared" si="26"/>
        <v>Extremo</v>
      </c>
    </row>
    <row r="32" spans="1:29" ht="30" x14ac:dyDescent="0.25">
      <c r="A32" s="172" t="str">
        <f>+'PRIORIZACIÓN (2)'!B34</f>
        <v xml:space="preserve">Auditoria Gestión Suelo </v>
      </c>
      <c r="B32" s="180" t="str">
        <f>+IF('PRIORIZACIÓN (2)'!I34&gt;0%,"YA CUENTA CON PONDERACIÓN DE RIESGOS, NO DILIGENCIAR ANALISIS OCI", "DILIGENCIE ANALISIS OCI PARA ESTA UNIDAD AUDITABLE")</f>
        <v>YA CUENTA CON PONDERACIÓN DE RIESGOS, NO DILIGENCIAR ANALISIS OCI</v>
      </c>
      <c r="C32" s="176" t="s">
        <v>345</v>
      </c>
      <c r="D32" s="1"/>
      <c r="E32" s="1" t="s">
        <v>485</v>
      </c>
      <c r="F32" s="1"/>
      <c r="G32" s="177" t="s">
        <v>343</v>
      </c>
      <c r="H32" s="1"/>
      <c r="I32" s="177" t="s">
        <v>343</v>
      </c>
      <c r="J32" s="1"/>
      <c r="K32" s="1" t="s">
        <v>486</v>
      </c>
      <c r="L32" s="1"/>
      <c r="M32" s="1" t="s">
        <v>345</v>
      </c>
      <c r="N32" s="1"/>
      <c r="O32" s="1" t="s">
        <v>487</v>
      </c>
      <c r="P32" s="174" t="str">
        <f t="shared" si="14"/>
        <v>B</v>
      </c>
      <c r="Q32" s="1">
        <f t="shared" si="4"/>
        <v>0</v>
      </c>
      <c r="R32" s="1" t="str">
        <f t="shared" si="0"/>
        <v>B</v>
      </c>
      <c r="S32" s="1" t="str">
        <f t="shared" si="1"/>
        <v>B</v>
      </c>
      <c r="T32" s="1" t="str">
        <f t="shared" si="5"/>
        <v>B</v>
      </c>
      <c r="U32" s="1" t="str">
        <f t="shared" si="2"/>
        <v>E</v>
      </c>
      <c r="V32" s="1">
        <f t="shared" si="13"/>
        <v>0</v>
      </c>
      <c r="W32" s="173" t="str">
        <f t="shared" si="6"/>
        <v>B</v>
      </c>
      <c r="X32" s="5">
        <f t="shared" si="21"/>
        <v>1</v>
      </c>
      <c r="Y32" s="1">
        <f t="shared" si="22"/>
        <v>0</v>
      </c>
      <c r="Z32" s="1">
        <f t="shared" si="23"/>
        <v>0</v>
      </c>
      <c r="AA32" s="174">
        <f t="shared" si="24"/>
        <v>4</v>
      </c>
      <c r="AB32" s="5">
        <f t="shared" si="25"/>
        <v>5</v>
      </c>
      <c r="AC32" s="175" t="str">
        <f t="shared" si="26"/>
        <v>Extremo</v>
      </c>
    </row>
    <row r="33" spans="1:29" ht="30" x14ac:dyDescent="0.25">
      <c r="A33" s="172" t="str">
        <f>+'PRIORIZACIÓN (2)'!B35</f>
        <v xml:space="preserve">Sistema de Información Misional </v>
      </c>
      <c r="B33" s="180" t="str">
        <f>+IF('PRIORIZACIÓN (2)'!I35&gt;0%,"YA CUENTA CON PONDERACIÓN DE RIESGOS, NO DILIGENCIAR ANALISIS OCI", "DILIGENCIE ANALISIS OCI PARA ESTA UNIDAD AUDITABLE")</f>
        <v>YA CUENTA CON PONDERACIÓN DE RIESGOS, NO DILIGENCIAR ANALISIS OCI</v>
      </c>
      <c r="C33" s="176" t="s">
        <v>345</v>
      </c>
      <c r="D33" s="1"/>
      <c r="E33" s="1" t="s">
        <v>511</v>
      </c>
      <c r="F33" s="1"/>
      <c r="G33" s="177" t="s">
        <v>344</v>
      </c>
      <c r="H33" s="1"/>
      <c r="I33" s="177" t="s">
        <v>343</v>
      </c>
      <c r="J33" s="1"/>
      <c r="K33" s="1" t="s">
        <v>488</v>
      </c>
      <c r="L33" s="1"/>
      <c r="M33" s="1" t="s">
        <v>343</v>
      </c>
      <c r="N33" s="1"/>
      <c r="O33" s="1" t="s">
        <v>489</v>
      </c>
      <c r="P33" s="174" t="str">
        <f t="shared" si="14"/>
        <v>M</v>
      </c>
      <c r="Q33" s="1">
        <f t="shared" si="4"/>
        <v>0</v>
      </c>
      <c r="R33" s="1" t="str">
        <f t="shared" si="0"/>
        <v>A</v>
      </c>
      <c r="S33" s="1" t="str">
        <f t="shared" si="1"/>
        <v>M</v>
      </c>
      <c r="T33" s="1" t="str">
        <f t="shared" si="5"/>
        <v>B</v>
      </c>
      <c r="U33" s="1" t="str">
        <f t="shared" si="2"/>
        <v>A</v>
      </c>
      <c r="V33" s="1" t="str">
        <f t="shared" si="13"/>
        <v>B</v>
      </c>
      <c r="W33" s="173" t="str">
        <f t="shared" si="6"/>
        <v>M</v>
      </c>
      <c r="X33" s="5">
        <f t="shared" si="21"/>
        <v>0</v>
      </c>
      <c r="Y33" s="1">
        <f t="shared" si="22"/>
        <v>2</v>
      </c>
      <c r="Z33" s="1">
        <f t="shared" si="23"/>
        <v>2</v>
      </c>
      <c r="AA33" s="174">
        <f t="shared" si="24"/>
        <v>2</v>
      </c>
      <c r="AB33" s="5">
        <f t="shared" si="25"/>
        <v>6</v>
      </c>
      <c r="AC33" s="175" t="str">
        <f t="shared" si="26"/>
        <v>Alto</v>
      </c>
    </row>
    <row r="34" spans="1:29" ht="45" x14ac:dyDescent="0.25">
      <c r="A34" s="172" t="str">
        <f>+'PRIORIZACIÓN (2)'!B36</f>
        <v>Contratación transversal (Incluye San Victorino y Optimización Nuevo Manual de Contratación)</v>
      </c>
      <c r="B34" s="180" t="str">
        <f>+IF('PRIORIZACIÓN (2)'!I36&gt;0%,"YA CUENTA CON PONDERACIÓN DE RIESGOS, NO DILIGENCIAR ANALISIS OCI", "DILIGENCIE ANALISIS OCI PARA ESTA UNIDAD AUDITABLE")</f>
        <v>YA CUENTA CON PONDERACIÓN DE RIESGOS, NO DILIGENCIAR ANALISIS OCI</v>
      </c>
      <c r="C34" s="176" t="s">
        <v>345</v>
      </c>
      <c r="D34" s="1"/>
      <c r="E34" s="1" t="s">
        <v>485</v>
      </c>
      <c r="F34" s="1"/>
      <c r="G34" s="177" t="s">
        <v>345</v>
      </c>
      <c r="H34" s="1"/>
      <c r="I34" s="177" t="s">
        <v>344</v>
      </c>
      <c r="J34" s="1"/>
      <c r="K34" s="1" t="s">
        <v>490</v>
      </c>
      <c r="L34" s="1"/>
      <c r="M34" s="1" t="s">
        <v>345</v>
      </c>
      <c r="N34" s="1"/>
      <c r="O34" s="1" t="s">
        <v>489</v>
      </c>
      <c r="P34" s="174" t="str">
        <f t="shared" si="14"/>
        <v>M</v>
      </c>
      <c r="Q34" s="1">
        <f t="shared" si="4"/>
        <v>0</v>
      </c>
      <c r="R34" s="1" t="str">
        <f t="shared" si="0"/>
        <v>B</v>
      </c>
      <c r="S34" s="1">
        <f t="shared" si="1"/>
        <v>0</v>
      </c>
      <c r="T34" s="1" t="str">
        <f t="shared" si="5"/>
        <v>M</v>
      </c>
      <c r="U34" s="1" t="str">
        <f t="shared" si="2"/>
        <v>M</v>
      </c>
      <c r="V34" s="1">
        <f t="shared" si="13"/>
        <v>0</v>
      </c>
      <c r="W34" s="173" t="str">
        <f t="shared" si="6"/>
        <v>M</v>
      </c>
      <c r="X34" s="5">
        <f>COUNTIFS(Q34:W34,"E")</f>
        <v>0</v>
      </c>
      <c r="Y34" s="1">
        <f>COUNTIF(Q34:W34,"A")</f>
        <v>0</v>
      </c>
      <c r="Z34" s="1">
        <f>COUNTIF(Q34:W34,"M")</f>
        <v>3</v>
      </c>
      <c r="AA34" s="174">
        <f>COUNTIF(Q34:W34,"B")</f>
        <v>1</v>
      </c>
      <c r="AB34" s="5">
        <f>SUM(X34:AA34)</f>
        <v>4</v>
      </c>
      <c r="AC34" s="175" t="str">
        <f>+IF((X34/AB34)&gt;=0.2,"Extremo",+IF(((X34/AB34)+(Y34/AB34))&gt;=0.3,"Alto",+IF(((X34/AB34)+(Y34/AB34)+(Z34/AB34))&gt;=0.4,"Moderado",+IF((X34/AB34)+(Y34/AB34)+(Z34/AB34)+(AA34/AB34)&gt;=0.5,"Bajo",""))))</f>
        <v>Moderado</v>
      </c>
    </row>
    <row r="35" spans="1:29" ht="30" x14ac:dyDescent="0.25">
      <c r="A35" s="172" t="str">
        <f>+'PRIORIZACIÓN (2)'!B37</f>
        <v>Seguimiento Ejecución y avance de proyectos</v>
      </c>
      <c r="B35" s="180" t="str">
        <f>+IF('PRIORIZACIÓN (2)'!I37&gt;0%,"YA CUENTA CON PONDERACIÓN DE RIESGOS, NO DILIGENCIAR ANALISIS OCI", "DILIGENCIE ANALISIS OCI PARA ESTA UNIDAD AUDITABLE")</f>
        <v>YA CUENTA CON PONDERACIÓN DE RIESGOS, NO DILIGENCIAR ANALISIS OCI</v>
      </c>
      <c r="C35" s="176" t="s">
        <v>343</v>
      </c>
      <c r="D35" s="1"/>
      <c r="E35" s="1" t="s">
        <v>485</v>
      </c>
      <c r="F35" s="1"/>
      <c r="G35" s="177" t="s">
        <v>345</v>
      </c>
      <c r="H35" s="1"/>
      <c r="I35" s="177" t="s">
        <v>345</v>
      </c>
      <c r="J35" s="1"/>
      <c r="K35" s="1" t="s">
        <v>512</v>
      </c>
      <c r="L35" s="1"/>
      <c r="M35" s="1" t="s">
        <v>345</v>
      </c>
      <c r="N35" s="1"/>
      <c r="O35" s="1" t="s">
        <v>489</v>
      </c>
      <c r="P35" s="174" t="str">
        <f t="shared" si="14"/>
        <v>M</v>
      </c>
      <c r="Q35" s="1" t="str">
        <f t="shared" si="4"/>
        <v>B</v>
      </c>
      <c r="R35" s="1" t="str">
        <f t="shared" si="0"/>
        <v>B</v>
      </c>
      <c r="S35" s="1">
        <f t="shared" si="1"/>
        <v>0</v>
      </c>
      <c r="T35" s="1">
        <f t="shared" si="5"/>
        <v>0</v>
      </c>
      <c r="U35" s="1" t="str">
        <f t="shared" si="2"/>
        <v>B</v>
      </c>
      <c r="V35" s="1">
        <f t="shared" si="13"/>
        <v>0</v>
      </c>
      <c r="W35" s="173" t="str">
        <f t="shared" si="6"/>
        <v>M</v>
      </c>
      <c r="X35" s="5">
        <f>COUNTIFS(Q35:W35,"E")</f>
        <v>0</v>
      </c>
      <c r="Y35" s="1">
        <f>COUNTIF(Q35:W35,"A")</f>
        <v>0</v>
      </c>
      <c r="Z35" s="1">
        <f>COUNTIF(Q35:W35,"M")</f>
        <v>1</v>
      </c>
      <c r="AA35" s="174">
        <f>COUNTIF(Q35:W35,"B")</f>
        <v>3</v>
      </c>
      <c r="AB35" s="5">
        <f>SUM(X35:AA35)</f>
        <v>4</v>
      </c>
      <c r="AC35" s="175" t="str">
        <f>+IF((X35/AB35)&gt;=0.2,"Extremo",+IF(((X35/AB35)+(Y35/AB35))&gt;=0.3,"Alto",+IF(((X35/AB35)+(Y35/AB35)+(Z35/AB35))&gt;=0.4,"Moderado",+IF((X35/AB35)+(Y35/AB35)+(Z35/AB35)+(AA35/AB35)&gt;=0.5,"Bajo",""))))</f>
        <v>Bajo</v>
      </c>
    </row>
    <row r="36" spans="1:29" ht="30" x14ac:dyDescent="0.25">
      <c r="A36" s="172" t="str">
        <f>+'PRIORIZACIÓN (2)'!B38</f>
        <v>Auditoria Contratos arrendamiento - Predios San Victorino</v>
      </c>
      <c r="B36" s="180" t="str">
        <f>+IF('PRIORIZACIÓN (2)'!I38&gt;0%,"YA CUENTA CON PONDERACIÓN DE RIESGOS, NO DILIGENCIAR ANALISIS OCI", "DILIGENCIE ANALISIS OCI PARA ESTA UNIDAD AUDITABLE")</f>
        <v>YA CUENTA CON PONDERACIÓN DE RIESGOS, NO DILIGENCIAR ANALISIS OCI</v>
      </c>
      <c r="C36" s="176" t="s">
        <v>345</v>
      </c>
      <c r="D36" s="1"/>
      <c r="E36" s="1" t="s">
        <v>485</v>
      </c>
      <c r="F36" s="1"/>
      <c r="G36" s="177" t="s">
        <v>345</v>
      </c>
      <c r="H36" s="1"/>
      <c r="I36" s="177" t="s">
        <v>345</v>
      </c>
      <c r="J36" s="1"/>
      <c r="K36" s="1" t="s">
        <v>512</v>
      </c>
      <c r="L36" s="1"/>
      <c r="M36" s="1" t="s">
        <v>345</v>
      </c>
      <c r="N36" s="1"/>
      <c r="O36" s="1" t="s">
        <v>487</v>
      </c>
      <c r="P36" s="174" t="str">
        <f t="shared" ref="P36:P90" si="27">IF($O36="Critica no recuperable","E",IF($O36="Critica con recuperación parcial","A",IF($O36="Falta de oportunidad para atención usuarios","M",IF($O36="Falta de oportunidad para gestión de los procesos","B",0))))</f>
        <v>B</v>
      </c>
      <c r="Q36" s="1">
        <f t="shared" si="4"/>
        <v>0</v>
      </c>
      <c r="R36" s="1" t="str">
        <f t="shared" si="0"/>
        <v>B</v>
      </c>
      <c r="S36" s="1">
        <f t="shared" si="1"/>
        <v>0</v>
      </c>
      <c r="T36" s="1">
        <f t="shared" si="5"/>
        <v>0</v>
      </c>
      <c r="U36" s="1" t="str">
        <f t="shared" si="2"/>
        <v>B</v>
      </c>
      <c r="V36" s="1">
        <f t="shared" si="13"/>
        <v>0</v>
      </c>
      <c r="W36" s="173" t="str">
        <f t="shared" si="6"/>
        <v>B</v>
      </c>
      <c r="X36" s="5">
        <f t="shared" ref="X36:X43" si="28">COUNTIFS(Q36:W36,"E")</f>
        <v>0</v>
      </c>
      <c r="Y36" s="1">
        <f t="shared" ref="Y36:Y43" si="29">COUNTIF(Q36:W36,"A")</f>
        <v>0</v>
      </c>
      <c r="Z36" s="1">
        <f t="shared" ref="Z36:Z43" si="30">COUNTIF(Q36:W36,"M")</f>
        <v>0</v>
      </c>
      <c r="AA36" s="174">
        <f t="shared" ref="AA36:AA43" si="31">COUNTIF(Q36:W36,"B")</f>
        <v>3</v>
      </c>
      <c r="AB36" s="5">
        <f t="shared" ref="AB36:AB43" si="32">SUM(X36:AA36)</f>
        <v>3</v>
      </c>
      <c r="AC36" s="175" t="str">
        <f t="shared" ref="AC36:AC43" si="33">+IF((X36/AB36)&gt;=0.2,"Extremo",+IF(((X36/AB36)+(Y36/AB36))&gt;=0.3,"Alto",+IF(((X36/AB36)+(Y36/AB36)+(Z36/AB36))&gt;=0.4,"Moderado",+IF((X36/AB36)+(Y36/AB36)+(Z36/AB36)+(AA36/AB36)&gt;=0.5,"Bajo",""))))</f>
        <v>Bajo</v>
      </c>
    </row>
    <row r="37" spans="1:29" ht="30" x14ac:dyDescent="0.25">
      <c r="A37" s="172" t="str">
        <f>+'PRIORIZACIÓN (2)'!B39</f>
        <v>Voto Nacional (Incluye Edificio Formación para el Trabajo)</v>
      </c>
      <c r="B37" s="180" t="str">
        <f>+IF('PRIORIZACIÓN (2)'!I39&gt;0%,"YA CUENTA CON PONDERACIÓN DE RIESGOS, NO DILIGENCIAR ANALISIS OCI", "DILIGENCIE ANALISIS OCI PARA ESTA UNIDAD AUDITABLE")</f>
        <v>YA CUENTA CON PONDERACIÓN DE RIESGOS, NO DILIGENCIAR ANALISIS OCI</v>
      </c>
      <c r="C37" s="176" t="s">
        <v>343</v>
      </c>
      <c r="D37" s="1"/>
      <c r="E37" s="1" t="s">
        <v>485</v>
      </c>
      <c r="F37" s="1"/>
      <c r="G37" s="177" t="s">
        <v>346</v>
      </c>
      <c r="H37" s="1"/>
      <c r="I37" s="177" t="s">
        <v>344</v>
      </c>
      <c r="J37" s="1"/>
      <c r="K37" s="1" t="s">
        <v>488</v>
      </c>
      <c r="L37" s="1"/>
      <c r="M37" s="1" t="s">
        <v>345</v>
      </c>
      <c r="N37" s="1"/>
      <c r="O37" s="1" t="s">
        <v>487</v>
      </c>
      <c r="P37" s="174" t="str">
        <f t="shared" si="27"/>
        <v>B</v>
      </c>
      <c r="Q37" s="1" t="str">
        <f t="shared" si="4"/>
        <v>B</v>
      </c>
      <c r="R37" s="1" t="str">
        <f t="shared" si="0"/>
        <v>B</v>
      </c>
      <c r="S37" s="1" t="str">
        <f t="shared" si="1"/>
        <v>E</v>
      </c>
      <c r="T37" s="1" t="str">
        <f t="shared" si="5"/>
        <v>M</v>
      </c>
      <c r="U37" s="1" t="str">
        <f t="shared" si="2"/>
        <v>A</v>
      </c>
      <c r="V37" s="1">
        <f t="shared" si="13"/>
        <v>0</v>
      </c>
      <c r="W37" s="173" t="str">
        <f t="shared" si="6"/>
        <v>B</v>
      </c>
      <c r="X37" s="5">
        <f t="shared" si="28"/>
        <v>1</v>
      </c>
      <c r="Y37" s="1">
        <f t="shared" si="29"/>
        <v>1</v>
      </c>
      <c r="Z37" s="1">
        <f t="shared" si="30"/>
        <v>1</v>
      </c>
      <c r="AA37" s="174">
        <f t="shared" si="31"/>
        <v>3</v>
      </c>
      <c r="AB37" s="5">
        <f t="shared" si="32"/>
        <v>6</v>
      </c>
      <c r="AC37" s="175" t="str">
        <f t="shared" si="33"/>
        <v>Alto</v>
      </c>
    </row>
    <row r="38" spans="1:29" ht="30" x14ac:dyDescent="0.25">
      <c r="A38" s="172" t="str">
        <f>+'PRIORIZACIÓN (2)'!B40</f>
        <v>Auditoria Proceso Terceros Concurrentes</v>
      </c>
      <c r="B38" s="180" t="str">
        <f>+IF('PRIORIZACIÓN (2)'!I40&gt;0%,"YA CUENTA CON PONDERACIÓN DE RIESGOS, NO DILIGENCIAR ANALISIS OCI", "DILIGENCIE ANALISIS OCI PARA ESTA UNIDAD AUDITABLE")</f>
        <v>YA CUENTA CON PONDERACIÓN DE RIESGOS, NO DILIGENCIAR ANALISIS OCI</v>
      </c>
      <c r="C38" s="176" t="s">
        <v>343</v>
      </c>
      <c r="D38" s="1"/>
      <c r="E38" s="1" t="s">
        <v>485</v>
      </c>
      <c r="F38" s="1"/>
      <c r="G38" s="177" t="s">
        <v>346</v>
      </c>
      <c r="H38" s="1"/>
      <c r="I38" s="177" t="s">
        <v>344</v>
      </c>
      <c r="J38" s="1"/>
      <c r="K38" s="1" t="s">
        <v>488</v>
      </c>
      <c r="L38" s="1"/>
      <c r="M38" s="1" t="s">
        <v>345</v>
      </c>
      <c r="N38" s="1"/>
      <c r="O38" s="1" t="s">
        <v>487</v>
      </c>
      <c r="P38" s="174" t="str">
        <f t="shared" si="27"/>
        <v>B</v>
      </c>
      <c r="Q38" s="1" t="str">
        <f t="shared" si="4"/>
        <v>B</v>
      </c>
      <c r="R38" s="1" t="str">
        <f t="shared" si="0"/>
        <v>B</v>
      </c>
      <c r="S38" s="1" t="str">
        <f t="shared" si="1"/>
        <v>E</v>
      </c>
      <c r="T38" s="1" t="str">
        <f t="shared" si="5"/>
        <v>M</v>
      </c>
      <c r="U38" s="1" t="str">
        <f t="shared" si="2"/>
        <v>A</v>
      </c>
      <c r="V38" s="1">
        <f t="shared" si="13"/>
        <v>0</v>
      </c>
      <c r="W38" s="173" t="str">
        <f t="shared" si="6"/>
        <v>B</v>
      </c>
      <c r="X38" s="5">
        <f t="shared" si="28"/>
        <v>1</v>
      </c>
      <c r="Y38" s="1">
        <f t="shared" si="29"/>
        <v>1</v>
      </c>
      <c r="Z38" s="1">
        <f t="shared" si="30"/>
        <v>1</v>
      </c>
      <c r="AA38" s="174">
        <f t="shared" si="31"/>
        <v>3</v>
      </c>
      <c r="AB38" s="5">
        <f t="shared" si="32"/>
        <v>6</v>
      </c>
      <c r="AC38" s="175" t="str">
        <f t="shared" si="33"/>
        <v>Alto</v>
      </c>
    </row>
    <row r="39" spans="1:29" ht="30" x14ac:dyDescent="0.25">
      <c r="A39" s="172" t="str">
        <f>+'PRIORIZACIÓN (2)'!B41</f>
        <v>Sistemas de Información Misionales de la Empresa (Contratación)</v>
      </c>
      <c r="B39" s="180" t="str">
        <f>+IF('PRIORIZACIÓN (2)'!I41&gt;0%,"YA CUENTA CON PONDERACIÓN DE RIESGOS, NO DILIGENCIAR ANALISIS OCI", "DILIGENCIE ANALISIS OCI PARA ESTA UNIDAD AUDITABLE")</f>
        <v>YA CUENTA CON PONDERACIÓN DE RIESGOS, NO DILIGENCIAR ANALISIS OCI</v>
      </c>
      <c r="C39" s="176" t="s">
        <v>343</v>
      </c>
      <c r="D39" s="1"/>
      <c r="E39" s="1" t="s">
        <v>485</v>
      </c>
      <c r="F39" s="1"/>
      <c r="G39" s="177" t="s">
        <v>346</v>
      </c>
      <c r="H39" s="1"/>
      <c r="I39" s="177" t="s">
        <v>343</v>
      </c>
      <c r="J39" s="1"/>
      <c r="K39" s="1" t="s">
        <v>488</v>
      </c>
      <c r="L39" s="1"/>
      <c r="M39" s="1" t="s">
        <v>345</v>
      </c>
      <c r="N39" s="1"/>
      <c r="O39" s="1" t="s">
        <v>487</v>
      </c>
      <c r="P39" s="174" t="str">
        <f t="shared" si="27"/>
        <v>B</v>
      </c>
      <c r="Q39" s="1" t="str">
        <f t="shared" si="4"/>
        <v>B</v>
      </c>
      <c r="R39" s="1" t="str">
        <f t="shared" si="0"/>
        <v>B</v>
      </c>
      <c r="S39" s="1" t="str">
        <f t="shared" si="1"/>
        <v>E</v>
      </c>
      <c r="T39" s="1" t="str">
        <f t="shared" si="5"/>
        <v>B</v>
      </c>
      <c r="U39" s="1" t="str">
        <f t="shared" si="2"/>
        <v>A</v>
      </c>
      <c r="V39" s="1">
        <f t="shared" si="13"/>
        <v>0</v>
      </c>
      <c r="W39" s="173" t="str">
        <f t="shared" si="6"/>
        <v>B</v>
      </c>
      <c r="X39" s="5">
        <f t="shared" si="28"/>
        <v>1</v>
      </c>
      <c r="Y39" s="1">
        <f t="shared" si="29"/>
        <v>1</v>
      </c>
      <c r="Z39" s="1">
        <f t="shared" si="30"/>
        <v>0</v>
      </c>
      <c r="AA39" s="174">
        <f t="shared" si="31"/>
        <v>4</v>
      </c>
      <c r="AB39" s="5">
        <f t="shared" si="32"/>
        <v>6</v>
      </c>
      <c r="AC39" s="175" t="str">
        <f t="shared" si="33"/>
        <v>Alto</v>
      </c>
    </row>
    <row r="40" spans="1:29" ht="45" x14ac:dyDescent="0.25">
      <c r="A40" s="172" t="str">
        <f>+'PRIORIZACIÓN (2)'!B42</f>
        <v>Servicios Administrativos y de apoyo - PIGA - Talento Humano -  Servicios Logísticos</v>
      </c>
      <c r="B40" s="180" t="str">
        <f>+IF('PRIORIZACIÓN (2)'!I42&gt;0%,"YA CUENTA CON PONDERACIÓN DE RIESGOS, NO DILIGENCIAR ANALISIS OCI", "DILIGENCIE ANALISIS OCI PARA ESTA UNIDAD AUDITABLE")</f>
        <v>YA CUENTA CON PONDERACIÓN DE RIESGOS, NO DILIGENCIAR ANALISIS OCI</v>
      </c>
      <c r="C40" s="176" t="s">
        <v>344</v>
      </c>
      <c r="D40" s="1"/>
      <c r="E40" s="1" t="s">
        <v>485</v>
      </c>
      <c r="F40" s="1"/>
      <c r="G40" s="177" t="s">
        <v>346</v>
      </c>
      <c r="H40" s="1"/>
      <c r="I40" s="177" t="s">
        <v>343</v>
      </c>
      <c r="J40" s="1"/>
      <c r="K40" s="1" t="s">
        <v>488</v>
      </c>
      <c r="L40" s="1"/>
      <c r="M40" s="1" t="s">
        <v>345</v>
      </c>
      <c r="N40" s="1"/>
      <c r="O40" s="1" t="s">
        <v>489</v>
      </c>
      <c r="P40" s="174" t="str">
        <f t="shared" si="27"/>
        <v>M</v>
      </c>
      <c r="Q40" s="1" t="str">
        <f t="shared" si="4"/>
        <v>M</v>
      </c>
      <c r="R40" s="1" t="str">
        <f t="shared" si="0"/>
        <v>B</v>
      </c>
      <c r="S40" s="1" t="str">
        <f t="shared" si="1"/>
        <v>E</v>
      </c>
      <c r="T40" s="1" t="str">
        <f t="shared" si="5"/>
        <v>B</v>
      </c>
      <c r="U40" s="1" t="str">
        <f t="shared" si="2"/>
        <v>A</v>
      </c>
      <c r="V40" s="1">
        <f t="shared" si="13"/>
        <v>0</v>
      </c>
      <c r="W40" s="173" t="str">
        <f t="shared" si="6"/>
        <v>M</v>
      </c>
      <c r="X40" s="5">
        <f t="shared" si="28"/>
        <v>1</v>
      </c>
      <c r="Y40" s="1">
        <f t="shared" si="29"/>
        <v>1</v>
      </c>
      <c r="Z40" s="1">
        <f t="shared" si="30"/>
        <v>2</v>
      </c>
      <c r="AA40" s="174">
        <f t="shared" si="31"/>
        <v>2</v>
      </c>
      <c r="AB40" s="5">
        <f t="shared" si="32"/>
        <v>6</v>
      </c>
      <c r="AC40" s="175" t="str">
        <f t="shared" si="33"/>
        <v>Alto</v>
      </c>
    </row>
    <row r="41" spans="1:29" ht="30" x14ac:dyDescent="0.25">
      <c r="A41" s="172" t="str">
        <f>+'PRIORIZACIÓN (2)'!B43</f>
        <v>Costeo de los proyectos y rentabilidad de la Empresa</v>
      </c>
      <c r="B41" s="180" t="str">
        <f>+IF('PRIORIZACIÓN (2)'!I43&gt;0%,"YA CUENTA CON PONDERACIÓN DE RIESGOS, NO DILIGENCIAR ANALISIS OCI", "DILIGENCIE ANALISIS OCI PARA ESTA UNIDAD AUDITABLE")</f>
        <v>YA CUENTA CON PONDERACIÓN DE RIESGOS, NO DILIGENCIAR ANALISIS OCI</v>
      </c>
      <c r="C41" s="176" t="s">
        <v>343</v>
      </c>
      <c r="D41" s="1"/>
      <c r="E41" s="1" t="s">
        <v>485</v>
      </c>
      <c r="F41" s="1"/>
      <c r="G41" s="177" t="s">
        <v>346</v>
      </c>
      <c r="H41" s="1"/>
      <c r="I41" s="177" t="s">
        <v>343</v>
      </c>
      <c r="J41" s="1"/>
      <c r="K41" s="1" t="s">
        <v>488</v>
      </c>
      <c r="L41" s="1"/>
      <c r="M41" s="1" t="s">
        <v>345</v>
      </c>
      <c r="N41" s="1"/>
      <c r="O41" s="1" t="s">
        <v>489</v>
      </c>
      <c r="P41" s="174" t="str">
        <f t="shared" si="27"/>
        <v>M</v>
      </c>
      <c r="Q41" s="1" t="str">
        <f t="shared" si="4"/>
        <v>B</v>
      </c>
      <c r="R41" s="1" t="str">
        <f t="shared" si="0"/>
        <v>B</v>
      </c>
      <c r="S41" s="1" t="str">
        <f t="shared" si="1"/>
        <v>E</v>
      </c>
      <c r="T41" s="1" t="str">
        <f t="shared" si="5"/>
        <v>B</v>
      </c>
      <c r="U41" s="1" t="str">
        <f t="shared" si="2"/>
        <v>A</v>
      </c>
      <c r="V41" s="1">
        <f t="shared" si="13"/>
        <v>0</v>
      </c>
      <c r="W41" s="173" t="str">
        <f t="shared" si="6"/>
        <v>M</v>
      </c>
      <c r="X41" s="5">
        <f t="shared" si="28"/>
        <v>1</v>
      </c>
      <c r="Y41" s="1">
        <f t="shared" si="29"/>
        <v>1</v>
      </c>
      <c r="Z41" s="1">
        <f t="shared" si="30"/>
        <v>1</v>
      </c>
      <c r="AA41" s="174">
        <f t="shared" si="31"/>
        <v>3</v>
      </c>
      <c r="AB41" s="5">
        <f t="shared" si="32"/>
        <v>6</v>
      </c>
      <c r="AC41" s="175" t="str">
        <f t="shared" si="33"/>
        <v>Alto</v>
      </c>
    </row>
    <row r="42" spans="1:29" ht="30" x14ac:dyDescent="0.25">
      <c r="A42" s="172" t="str">
        <f>+'PRIORIZACIÓN (2)'!B44</f>
        <v>Seguimiento Resolución 1519 de 2021  y acceso a la Información</v>
      </c>
      <c r="B42" s="180" t="str">
        <f>+IF('PRIORIZACIÓN (2)'!I44&gt;0%,"YA CUENTA CON PONDERACIÓN DE RIESGOS, NO DILIGENCIAR ANALISIS OCI", "DILIGENCIE ANALISIS OCI PARA ESTA UNIDAD AUDITABLE")</f>
        <v>YA CUENTA CON PONDERACIÓN DE RIESGOS, NO DILIGENCIAR ANALISIS OCI</v>
      </c>
      <c r="C42" s="176" t="s">
        <v>343</v>
      </c>
      <c r="D42" s="1"/>
      <c r="E42" s="1" t="s">
        <v>485</v>
      </c>
      <c r="F42" s="1"/>
      <c r="G42" s="177" t="s">
        <v>345</v>
      </c>
      <c r="H42" s="1"/>
      <c r="I42" s="177" t="s">
        <v>345</v>
      </c>
      <c r="J42" s="1"/>
      <c r="K42" s="1" t="s">
        <v>488</v>
      </c>
      <c r="L42" s="1"/>
      <c r="M42" s="1" t="s">
        <v>344</v>
      </c>
      <c r="N42" s="1"/>
      <c r="O42" s="1" t="s">
        <v>489</v>
      </c>
      <c r="P42" s="174" t="str">
        <f t="shared" si="27"/>
        <v>M</v>
      </c>
      <c r="Q42" s="1" t="str">
        <f t="shared" si="4"/>
        <v>B</v>
      </c>
      <c r="R42" s="1" t="str">
        <f t="shared" si="0"/>
        <v>B</v>
      </c>
      <c r="S42" s="1">
        <f t="shared" si="1"/>
        <v>0</v>
      </c>
      <c r="T42" s="1">
        <f t="shared" si="5"/>
        <v>0</v>
      </c>
      <c r="U42" s="1" t="str">
        <f t="shared" si="2"/>
        <v>A</v>
      </c>
      <c r="V42" s="1" t="str">
        <f t="shared" si="13"/>
        <v>M</v>
      </c>
      <c r="W42" s="173" t="str">
        <f t="shared" si="6"/>
        <v>M</v>
      </c>
      <c r="X42" s="5">
        <f t="shared" si="28"/>
        <v>0</v>
      </c>
      <c r="Y42" s="1">
        <f t="shared" si="29"/>
        <v>1</v>
      </c>
      <c r="Z42" s="1">
        <f t="shared" si="30"/>
        <v>2</v>
      </c>
      <c r="AA42" s="174">
        <f t="shared" si="31"/>
        <v>2</v>
      </c>
      <c r="AB42" s="5">
        <f t="shared" si="32"/>
        <v>5</v>
      </c>
      <c r="AC42" s="175" t="str">
        <f t="shared" si="33"/>
        <v>Moderado</v>
      </c>
    </row>
    <row r="43" spans="1:29" ht="60" x14ac:dyDescent="0.25">
      <c r="A43" s="172" t="str">
        <f>+'PRIORIZACIÓN (2)'!B45</f>
        <v>Seguimiento Auditoria de Fiducias (Plan de Mejoramiento y Contratación por vencimiento de términos Fiducias actuales)</v>
      </c>
      <c r="B43" s="180" t="str">
        <f>+IF('PRIORIZACIÓN (2)'!I45&gt;0%,"YA CUENTA CON PONDERACIÓN DE RIESGOS, NO DILIGENCIAR ANALISIS OCI", "DILIGENCIE ANALISIS OCI PARA ESTA UNIDAD AUDITABLE")</f>
        <v>YA CUENTA CON PONDERACIÓN DE RIESGOS, NO DILIGENCIAR ANALISIS OCI</v>
      </c>
      <c r="C43" s="176" t="s">
        <v>345</v>
      </c>
      <c r="D43" s="1"/>
      <c r="E43" s="1" t="s">
        <v>485</v>
      </c>
      <c r="F43" s="1"/>
      <c r="G43" s="177" t="s">
        <v>345</v>
      </c>
      <c r="H43" s="1"/>
      <c r="I43" s="177" t="s">
        <v>345</v>
      </c>
      <c r="J43" s="1"/>
      <c r="K43" s="1" t="s">
        <v>488</v>
      </c>
      <c r="L43" s="1"/>
      <c r="M43" s="1" t="s">
        <v>345</v>
      </c>
      <c r="N43" s="1"/>
      <c r="O43" s="1" t="s">
        <v>489</v>
      </c>
      <c r="P43" s="174" t="str">
        <f t="shared" si="27"/>
        <v>M</v>
      </c>
      <c r="Q43" s="1">
        <f t="shared" si="4"/>
        <v>0</v>
      </c>
      <c r="R43" s="1" t="str">
        <f t="shared" si="0"/>
        <v>B</v>
      </c>
      <c r="S43" s="1">
        <f t="shared" si="1"/>
        <v>0</v>
      </c>
      <c r="T43" s="1">
        <f t="shared" si="5"/>
        <v>0</v>
      </c>
      <c r="U43" s="1" t="str">
        <f t="shared" si="2"/>
        <v>A</v>
      </c>
      <c r="V43" s="1">
        <f t="shared" si="13"/>
        <v>0</v>
      </c>
      <c r="W43" s="173" t="str">
        <f t="shared" si="6"/>
        <v>M</v>
      </c>
      <c r="X43" s="5">
        <f t="shared" si="28"/>
        <v>0</v>
      </c>
      <c r="Y43" s="1">
        <f t="shared" si="29"/>
        <v>1</v>
      </c>
      <c r="Z43" s="1">
        <f t="shared" si="30"/>
        <v>1</v>
      </c>
      <c r="AA43" s="174">
        <f t="shared" si="31"/>
        <v>1</v>
      </c>
      <c r="AB43" s="5">
        <f t="shared" si="32"/>
        <v>3</v>
      </c>
      <c r="AC43" s="175" t="str">
        <f t="shared" si="33"/>
        <v>Alto</v>
      </c>
    </row>
    <row r="44" spans="1:29" ht="45" x14ac:dyDescent="0.25">
      <c r="A44" s="172" t="str">
        <f>+'PRIORIZACIÓN (2)'!B46</f>
        <v>Seguimiento Comités Institucionales (Actividad pendiente de finalizar de la Vigencia 2021)</v>
      </c>
      <c r="B44" s="180" t="str">
        <f>+IF('PRIORIZACIÓN (2)'!I46&gt;0%,"YA CUENTA CON PONDERACIÓN DE RIESGOS, NO DILIGENCIAR ANALISIS OCI", "DILIGENCIE ANALISIS OCI PARA ESTA UNIDAD AUDITABLE")</f>
        <v>YA CUENTA CON PONDERACIÓN DE RIESGOS, NO DILIGENCIAR ANALISIS OCI</v>
      </c>
      <c r="C44" s="176" t="s">
        <v>343</v>
      </c>
      <c r="D44" s="1"/>
      <c r="E44" s="1" t="s">
        <v>511</v>
      </c>
      <c r="F44" s="1"/>
      <c r="G44" s="177" t="s">
        <v>345</v>
      </c>
      <c r="H44" s="1"/>
      <c r="I44" s="177" t="s">
        <v>343</v>
      </c>
      <c r="J44" s="1"/>
      <c r="K44" s="1" t="s">
        <v>488</v>
      </c>
      <c r="L44" s="1"/>
      <c r="M44" s="1" t="s">
        <v>344</v>
      </c>
      <c r="N44" s="1"/>
      <c r="O44" s="1" t="s">
        <v>489</v>
      </c>
      <c r="P44" s="174" t="str">
        <f t="shared" si="27"/>
        <v>M</v>
      </c>
      <c r="Q44" s="1" t="str">
        <f t="shared" si="4"/>
        <v>B</v>
      </c>
      <c r="R44" s="1" t="str">
        <f t="shared" si="0"/>
        <v>A</v>
      </c>
      <c r="S44" s="1">
        <f t="shared" si="1"/>
        <v>0</v>
      </c>
      <c r="T44" s="1" t="str">
        <f t="shared" si="5"/>
        <v>B</v>
      </c>
      <c r="U44" s="1" t="str">
        <f t="shared" si="2"/>
        <v>A</v>
      </c>
      <c r="V44" s="1" t="str">
        <f t="shared" si="13"/>
        <v>M</v>
      </c>
      <c r="W44" s="173" t="str">
        <f t="shared" si="6"/>
        <v>M</v>
      </c>
      <c r="X44" s="5">
        <f t="shared" ref="X44:X88" si="34">COUNTIFS(Q44:W44,"E")</f>
        <v>0</v>
      </c>
      <c r="Y44" s="1">
        <f t="shared" ref="Y44:Y88" si="35">COUNTIF(Q44:W44,"A")</f>
        <v>2</v>
      </c>
      <c r="Z44" s="1">
        <f t="shared" ref="Z44:Z88" si="36">COUNTIF(Q44:W44,"M")</f>
        <v>2</v>
      </c>
      <c r="AA44" s="174">
        <f t="shared" ref="AA44:AA88" si="37">COUNTIF(Q44:W44,"B")</f>
        <v>2</v>
      </c>
      <c r="AB44" s="5">
        <f t="shared" ref="AB44:AB88" si="38">SUM(X44:AA44)</f>
        <v>6</v>
      </c>
      <c r="AC44" s="175" t="str">
        <f t="shared" ref="AC44:AC88" si="39">+IF((X44/AB44)&gt;=0.2,"Extremo",+IF(((X44/AB44)+(Y44/AB44))&gt;=0.3,"Alto",+IF(((X44/AB44)+(Y44/AB44)+(Z44/AB44))&gt;=0.4,"Moderado",+IF((X44/AB44)+(Y44/AB44)+(Z44/AB44)+(AA44/AB44)&gt;=0.5,"Bajo",""))))</f>
        <v>Alto</v>
      </c>
    </row>
    <row r="45" spans="1:29" ht="30" x14ac:dyDescent="0.25">
      <c r="A45" s="172" t="str">
        <f>+'PRIORIZACIÓN (2)'!B47</f>
        <v>Seguimiento Plan de Mejoramiento Archivística</v>
      </c>
      <c r="B45" s="180" t="str">
        <f>+IF('PRIORIZACIÓN (2)'!I47&gt;0%,"YA CUENTA CON PONDERACIÓN DE RIESGOS, NO DILIGENCIAR ANALISIS OCI", "DILIGENCIE ANALISIS OCI PARA ESTA UNIDAD AUDITABLE")</f>
        <v>YA CUENTA CON PONDERACIÓN DE RIESGOS, NO DILIGENCIAR ANALISIS OCI</v>
      </c>
      <c r="C45" s="176" t="s">
        <v>345</v>
      </c>
      <c r="D45" s="1"/>
      <c r="E45" s="1" t="s">
        <v>485</v>
      </c>
      <c r="F45" s="1"/>
      <c r="G45" s="177" t="s">
        <v>343</v>
      </c>
      <c r="H45" s="1"/>
      <c r="I45" s="177" t="s">
        <v>343</v>
      </c>
      <c r="J45" s="1"/>
      <c r="K45" s="1" t="s">
        <v>488</v>
      </c>
      <c r="L45" s="1"/>
      <c r="M45" s="1" t="s">
        <v>345</v>
      </c>
      <c r="N45" s="1"/>
      <c r="O45" s="1" t="s">
        <v>489</v>
      </c>
      <c r="P45" s="174" t="str">
        <f t="shared" si="27"/>
        <v>M</v>
      </c>
      <c r="Q45" s="1">
        <f t="shared" si="4"/>
        <v>0</v>
      </c>
      <c r="R45" s="1" t="str">
        <f t="shared" si="0"/>
        <v>B</v>
      </c>
      <c r="S45" s="1" t="str">
        <f t="shared" si="1"/>
        <v>B</v>
      </c>
      <c r="T45" s="1" t="str">
        <f t="shared" si="5"/>
        <v>B</v>
      </c>
      <c r="U45" s="1" t="str">
        <f t="shared" si="2"/>
        <v>A</v>
      </c>
      <c r="V45" s="1">
        <f t="shared" si="13"/>
        <v>0</v>
      </c>
      <c r="W45" s="173" t="str">
        <f t="shared" si="6"/>
        <v>M</v>
      </c>
      <c r="X45" s="5">
        <f t="shared" si="34"/>
        <v>0</v>
      </c>
      <c r="Y45" s="1">
        <f t="shared" si="35"/>
        <v>1</v>
      </c>
      <c r="Z45" s="1">
        <f t="shared" si="36"/>
        <v>1</v>
      </c>
      <c r="AA45" s="174">
        <f t="shared" si="37"/>
        <v>3</v>
      </c>
      <c r="AB45" s="5">
        <f t="shared" si="38"/>
        <v>5</v>
      </c>
      <c r="AC45" s="175" t="str">
        <f t="shared" si="39"/>
        <v>Moderado</v>
      </c>
    </row>
    <row r="46" spans="1:29" ht="45" x14ac:dyDescent="0.25">
      <c r="A46" s="172" t="str">
        <f>+'PRIORIZACIÓN (2)'!B48</f>
        <v>Evaluación del Estatuto de Auditoria, Código de Ética del Auditor y Plan de Mejoramiento de las Auditorias Cruzadas</v>
      </c>
      <c r="B46" s="180" t="str">
        <f>+IF('PRIORIZACIÓN (2)'!I48&gt;0%,"YA CUENTA CON PONDERACIÓN DE RIESGOS, NO DILIGENCIAR ANALISIS OCI", "DILIGENCIE ANALISIS OCI PARA ESTA UNIDAD AUDITABLE")</f>
        <v>YA CUENTA CON PONDERACIÓN DE RIESGOS, NO DILIGENCIAR ANALISIS OCI</v>
      </c>
      <c r="C46" s="176" t="s">
        <v>343</v>
      </c>
      <c r="D46" s="1" t="str">
        <f>IF($C46="EXTREMA","E",IF($C46="ALTA","A",IF($C46="MEDIA","M",IF($C46="BAJA","B",0))))</f>
        <v>B</v>
      </c>
      <c r="E46" s="1" t="s">
        <v>485</v>
      </c>
      <c r="F46" s="1" t="str">
        <f>IF($E46="3 días","E",IF($E46="2 días","A",IF($E46="1 días","M",IF($E46="Varias horas","B",0))))</f>
        <v>B</v>
      </c>
      <c r="G46" s="177" t="s">
        <v>345</v>
      </c>
      <c r="H46" s="1">
        <f>IF($G46="EXTREMA","E",IF($G46="ALTA","A",IF($G46="MEDIA","M",IF($G46="BAJA","B",0))))</f>
        <v>0</v>
      </c>
      <c r="I46" s="177" t="s">
        <v>345</v>
      </c>
      <c r="J46" s="1">
        <f>IF($I46="EXTREMA","E",IF($I46="ALTA","A",IF($I46="MEDIA","M",IF($I46="BAJA","B",0))))</f>
        <v>0</v>
      </c>
      <c r="K46" s="1" t="s">
        <v>490</v>
      </c>
      <c r="L46" s="1" t="str">
        <f>IF($K46="Hechos de Corrupción","E",IF($K46="Incumplimiento de servicios","A",IF($K46="Retrasos en los servicios","M",IF($K46="Quejas por incumplimientos o retrasos","B",0))))</f>
        <v>M</v>
      </c>
      <c r="M46" s="1" t="s">
        <v>344</v>
      </c>
      <c r="N46" s="1" t="str">
        <f>IF($M46="EXTREMA","E",IF($M46="ALTA","A",IF($M46="MEDIA","M",IF($M46="BAJA","B",0))))</f>
        <v>M</v>
      </c>
      <c r="O46" s="1" t="s">
        <v>513</v>
      </c>
      <c r="P46" s="174" t="str">
        <f t="shared" si="27"/>
        <v>A</v>
      </c>
      <c r="Q46" s="1" t="str">
        <f t="shared" si="4"/>
        <v>B</v>
      </c>
      <c r="R46" s="1" t="str">
        <f t="shared" si="0"/>
        <v>B</v>
      </c>
      <c r="S46" s="1">
        <f t="shared" si="1"/>
        <v>0</v>
      </c>
      <c r="T46" s="1">
        <f t="shared" si="5"/>
        <v>0</v>
      </c>
      <c r="U46" s="1" t="str">
        <f t="shared" si="2"/>
        <v>M</v>
      </c>
      <c r="V46" s="1" t="str">
        <f t="shared" si="13"/>
        <v>M</v>
      </c>
      <c r="W46" s="173" t="str">
        <f t="shared" si="6"/>
        <v>A</v>
      </c>
      <c r="X46" s="5">
        <f t="shared" si="34"/>
        <v>0</v>
      </c>
      <c r="Y46" s="1">
        <f t="shared" si="35"/>
        <v>1</v>
      </c>
      <c r="Z46" s="1">
        <f t="shared" si="36"/>
        <v>2</v>
      </c>
      <c r="AA46" s="174">
        <f t="shared" si="37"/>
        <v>2</v>
      </c>
      <c r="AB46" s="5">
        <f t="shared" si="38"/>
        <v>5</v>
      </c>
      <c r="AC46" s="175" t="str">
        <f t="shared" si="39"/>
        <v>Moderado</v>
      </c>
    </row>
    <row r="47" spans="1:29" ht="45" x14ac:dyDescent="0.25">
      <c r="A47" s="172" t="str">
        <f>+'PRIORIZACIÓN (2)'!B49</f>
        <v>Factores de Gestión Prioritarias para la Empresa (análisis OCI) y Fortalecimiento Institucional</v>
      </c>
      <c r="B47" s="180" t="str">
        <f>+IF('PRIORIZACIÓN (2)'!I49&gt;0%,"YA CUENTA CON PONDERACIÓN DE RIESGOS, NO DILIGENCIAR ANALISIS OCI", "DILIGENCIE ANALISIS OCI PARA ESTA UNIDAD AUDITABLE")</f>
        <v>YA CUENTA CON PONDERACIÓN DE RIESGOS, NO DILIGENCIAR ANALISIS OCI</v>
      </c>
      <c r="C47" s="176" t="s">
        <v>343</v>
      </c>
      <c r="D47" s="1"/>
      <c r="E47" s="1" t="s">
        <v>485</v>
      </c>
      <c r="F47" s="1"/>
      <c r="G47" s="177" t="s">
        <v>345</v>
      </c>
      <c r="H47" s="1"/>
      <c r="I47" s="177" t="s">
        <v>345</v>
      </c>
      <c r="J47" s="1"/>
      <c r="K47" s="1" t="s">
        <v>490</v>
      </c>
      <c r="L47" s="1"/>
      <c r="M47" s="1" t="s">
        <v>345</v>
      </c>
      <c r="N47" s="1"/>
      <c r="O47" s="1" t="s">
        <v>489</v>
      </c>
      <c r="P47" s="174" t="str">
        <f t="shared" si="27"/>
        <v>M</v>
      </c>
      <c r="Q47" s="1" t="str">
        <f t="shared" si="4"/>
        <v>B</v>
      </c>
      <c r="R47" s="1" t="str">
        <f t="shared" si="0"/>
        <v>B</v>
      </c>
      <c r="S47" s="1">
        <f t="shared" si="1"/>
        <v>0</v>
      </c>
      <c r="T47" s="1">
        <f t="shared" si="5"/>
        <v>0</v>
      </c>
      <c r="U47" s="1" t="str">
        <f t="shared" si="2"/>
        <v>M</v>
      </c>
      <c r="V47" s="1">
        <f t="shared" si="13"/>
        <v>0</v>
      </c>
      <c r="W47" s="173" t="str">
        <f t="shared" si="6"/>
        <v>M</v>
      </c>
      <c r="X47" s="5">
        <f t="shared" si="34"/>
        <v>0</v>
      </c>
      <c r="Y47" s="1">
        <f t="shared" si="35"/>
        <v>0</v>
      </c>
      <c r="Z47" s="1">
        <f t="shared" si="36"/>
        <v>2</v>
      </c>
      <c r="AA47" s="174">
        <f t="shared" si="37"/>
        <v>2</v>
      </c>
      <c r="AB47" s="5">
        <f t="shared" si="38"/>
        <v>4</v>
      </c>
      <c r="AC47" s="175" t="str">
        <f t="shared" si="39"/>
        <v>Moderado</v>
      </c>
    </row>
    <row r="48" spans="1:29" ht="30" x14ac:dyDescent="0.25">
      <c r="A48" s="172" t="str">
        <f>+'PRIORIZACIÓN (2)'!B50</f>
        <v>Auditoria de Fiducias. Alcance por muestra confiable.</v>
      </c>
      <c r="B48" s="180" t="str">
        <f>+IF('PRIORIZACIÓN (2)'!I50&gt;0%,"YA CUENTA CON PONDERACIÓN DE RIESGOS, NO DILIGENCIAR ANALISIS OCI", "DILIGENCIE ANALISIS OCI PARA ESTA UNIDAD AUDITABLE")</f>
        <v>YA CUENTA CON PONDERACIÓN DE RIESGOS, NO DILIGENCIAR ANALISIS OCI</v>
      </c>
      <c r="C48" s="176" t="s">
        <v>345</v>
      </c>
      <c r="D48" s="1"/>
      <c r="E48" s="1" t="s">
        <v>485</v>
      </c>
      <c r="F48" s="1"/>
      <c r="G48" s="177" t="s">
        <v>345</v>
      </c>
      <c r="H48" s="1"/>
      <c r="I48" s="177" t="s">
        <v>345</v>
      </c>
      <c r="J48" s="1"/>
      <c r="K48" s="1" t="s">
        <v>488</v>
      </c>
      <c r="L48" s="1"/>
      <c r="M48" s="1" t="s">
        <v>345</v>
      </c>
      <c r="N48" s="1"/>
      <c r="O48" s="1" t="s">
        <v>489</v>
      </c>
      <c r="P48" s="174" t="str">
        <f t="shared" si="27"/>
        <v>M</v>
      </c>
      <c r="Q48" s="1">
        <f t="shared" si="4"/>
        <v>0</v>
      </c>
      <c r="R48" s="1" t="str">
        <f t="shared" si="0"/>
        <v>B</v>
      </c>
      <c r="S48" s="1">
        <f t="shared" si="1"/>
        <v>0</v>
      </c>
      <c r="T48" s="1">
        <f t="shared" si="5"/>
        <v>0</v>
      </c>
      <c r="U48" s="1" t="str">
        <f t="shared" si="2"/>
        <v>A</v>
      </c>
      <c r="V48" s="1">
        <f t="shared" si="13"/>
        <v>0</v>
      </c>
      <c r="W48" s="173" t="str">
        <f t="shared" si="6"/>
        <v>M</v>
      </c>
      <c r="X48" s="5">
        <f t="shared" si="34"/>
        <v>0</v>
      </c>
      <c r="Y48" s="1">
        <f t="shared" si="35"/>
        <v>1</v>
      </c>
      <c r="Z48" s="1">
        <f t="shared" si="36"/>
        <v>1</v>
      </c>
      <c r="AA48" s="174">
        <f t="shared" si="37"/>
        <v>1</v>
      </c>
      <c r="AB48" s="5">
        <f t="shared" si="38"/>
        <v>3</v>
      </c>
      <c r="AC48" s="175" t="str">
        <f t="shared" si="39"/>
        <v>Alto</v>
      </c>
    </row>
    <row r="49" spans="1:29" ht="30" x14ac:dyDescent="0.25">
      <c r="A49" s="172" t="str">
        <f>+'PRIORIZACIÓN (2)'!B51</f>
        <v>Auditoria Plan estratégico y gestión Tecnología y Comunicaciones</v>
      </c>
      <c r="B49" s="180" t="str">
        <f>+IF('PRIORIZACIÓN (2)'!I51&gt;0%,"YA CUENTA CON PONDERACIÓN DE RIESGOS, NO DILIGENCIAR ANALISIS OCI", "DILIGENCIE ANALISIS OCI PARA ESTA UNIDAD AUDITABLE")</f>
        <v>YA CUENTA CON PONDERACIÓN DE RIESGOS, NO DILIGENCIAR ANALISIS OCI</v>
      </c>
      <c r="C49" s="176" t="s">
        <v>343</v>
      </c>
      <c r="D49" s="1"/>
      <c r="E49" s="1" t="s">
        <v>511</v>
      </c>
      <c r="F49" s="1"/>
      <c r="G49" s="177" t="s">
        <v>345</v>
      </c>
      <c r="H49" s="1"/>
      <c r="I49" s="177" t="s">
        <v>343</v>
      </c>
      <c r="J49" s="1"/>
      <c r="K49" s="1" t="s">
        <v>488</v>
      </c>
      <c r="L49" s="1"/>
      <c r="M49" s="1" t="s">
        <v>344</v>
      </c>
      <c r="N49" s="1"/>
      <c r="O49" s="1" t="s">
        <v>489</v>
      </c>
      <c r="P49" s="174" t="str">
        <f t="shared" si="27"/>
        <v>M</v>
      </c>
      <c r="Q49" s="1" t="str">
        <f t="shared" si="4"/>
        <v>B</v>
      </c>
      <c r="R49" s="1" t="str">
        <f t="shared" si="0"/>
        <v>A</v>
      </c>
      <c r="S49" s="1">
        <f t="shared" si="1"/>
        <v>0</v>
      </c>
      <c r="T49" s="1" t="str">
        <f t="shared" si="5"/>
        <v>B</v>
      </c>
      <c r="U49" s="1" t="str">
        <f t="shared" si="2"/>
        <v>A</v>
      </c>
      <c r="V49" s="1" t="str">
        <f t="shared" si="13"/>
        <v>M</v>
      </c>
      <c r="W49" s="173" t="str">
        <f t="shared" si="6"/>
        <v>M</v>
      </c>
      <c r="X49" s="5">
        <f t="shared" si="34"/>
        <v>0</v>
      </c>
      <c r="Y49" s="1">
        <f t="shared" si="35"/>
        <v>2</v>
      </c>
      <c r="Z49" s="1">
        <f t="shared" si="36"/>
        <v>2</v>
      </c>
      <c r="AA49" s="174">
        <f t="shared" si="37"/>
        <v>2</v>
      </c>
      <c r="AB49" s="5">
        <f t="shared" si="38"/>
        <v>6</v>
      </c>
      <c r="AC49" s="175" t="str">
        <f t="shared" si="39"/>
        <v>Alto</v>
      </c>
    </row>
    <row r="50" spans="1:29" ht="60" x14ac:dyDescent="0.25">
      <c r="A50" s="172" t="str">
        <f>+'PRIORIZACIÓN (2)'!B52</f>
        <v>Proyecto: Formulación, Gestión y Estructuración de Proyectos de Desarrollo, Revitalización o Renovación Urbana. Incluido aspecto contractual</v>
      </c>
      <c r="B50" s="180" t="str">
        <f>+IF('PRIORIZACIÓN (2)'!I52&gt;0%,"YA CUENTA CON PONDERACIÓN DE RIESGOS, NO DILIGENCIAR ANALISIS OCI", "DILIGENCIE ANALISIS OCI PARA ESTA UNIDAD AUDITABLE")</f>
        <v>YA CUENTA CON PONDERACIÓN DE RIESGOS, NO DILIGENCIAR ANALISIS OCI</v>
      </c>
      <c r="C50" s="176" t="s">
        <v>345</v>
      </c>
      <c r="D50" s="1"/>
      <c r="E50" s="1" t="s">
        <v>485</v>
      </c>
      <c r="F50" s="1"/>
      <c r="G50" s="177" t="s">
        <v>343</v>
      </c>
      <c r="H50" s="1"/>
      <c r="I50" s="177" t="s">
        <v>343</v>
      </c>
      <c r="J50" s="1"/>
      <c r="K50" s="1" t="s">
        <v>488</v>
      </c>
      <c r="L50" s="1"/>
      <c r="M50" s="1" t="s">
        <v>345</v>
      </c>
      <c r="N50" s="1"/>
      <c r="O50" s="1" t="s">
        <v>489</v>
      </c>
      <c r="P50" s="174" t="str">
        <f t="shared" si="27"/>
        <v>M</v>
      </c>
      <c r="Q50" s="1">
        <f t="shared" si="4"/>
        <v>0</v>
      </c>
      <c r="R50" s="1" t="str">
        <f t="shared" si="0"/>
        <v>B</v>
      </c>
      <c r="S50" s="1" t="str">
        <f t="shared" si="1"/>
        <v>B</v>
      </c>
      <c r="T50" s="1" t="str">
        <f t="shared" si="5"/>
        <v>B</v>
      </c>
      <c r="U50" s="1" t="str">
        <f t="shared" si="2"/>
        <v>A</v>
      </c>
      <c r="V50" s="1">
        <f t="shared" si="13"/>
        <v>0</v>
      </c>
      <c r="W50" s="173" t="str">
        <f t="shared" si="6"/>
        <v>M</v>
      </c>
      <c r="X50" s="5">
        <f t="shared" si="34"/>
        <v>0</v>
      </c>
      <c r="Y50" s="1">
        <f t="shared" si="35"/>
        <v>1</v>
      </c>
      <c r="Z50" s="1">
        <f t="shared" si="36"/>
        <v>1</v>
      </c>
      <c r="AA50" s="174">
        <f t="shared" si="37"/>
        <v>3</v>
      </c>
      <c r="AB50" s="5">
        <f t="shared" si="38"/>
        <v>5</v>
      </c>
      <c r="AC50" s="175" t="str">
        <f t="shared" si="39"/>
        <v>Moderado</v>
      </c>
    </row>
    <row r="51" spans="1:29" ht="30" x14ac:dyDescent="0.25">
      <c r="A51" s="172" t="str">
        <f>+'PRIORIZACIÓN (2)'!B53</f>
        <v>Auditoria Gestión Social asociada a la Adquisición Predial y grupos de interés</v>
      </c>
      <c r="B51" s="180" t="str">
        <f>+IF('PRIORIZACIÓN (2)'!I53&gt;0%,"YA CUENTA CON PONDERACIÓN DE RIESGOS, NO DILIGENCIAR ANALISIS OCI", "DILIGENCIE ANALISIS OCI PARA ESTA UNIDAD AUDITABLE")</f>
        <v>YA CUENTA CON PONDERACIÓN DE RIESGOS, NO DILIGENCIAR ANALISIS OCI</v>
      </c>
      <c r="C51" s="176" t="s">
        <v>343</v>
      </c>
      <c r="D51" s="1" t="str">
        <f>IF($C51="EXTREMA","E",IF($C51="ALTA","A",IF($C51="MEDIA","M",IF($C51="BAJA","B",0))))</f>
        <v>B</v>
      </c>
      <c r="E51" s="1" t="s">
        <v>485</v>
      </c>
      <c r="F51" s="1" t="str">
        <f>IF($E51="3 días","E",IF($E51="2 días","A",IF($E51="1 días","M",IF($E51="Varias horas","B",0))))</f>
        <v>B</v>
      </c>
      <c r="G51" s="177" t="s">
        <v>345</v>
      </c>
      <c r="H51" s="1">
        <f>IF($G51="EXTREMA","E",IF($G51="ALTA","A",IF($G51="MEDIA","M",IF($G51="BAJA","B",0))))</f>
        <v>0</v>
      </c>
      <c r="I51" s="177" t="s">
        <v>345</v>
      </c>
      <c r="J51" s="1">
        <f>IF($I51="EXTREMA","E",IF($I51="ALTA","A",IF($I51="MEDIA","M",IF($I51="BAJA","B",0))))</f>
        <v>0</v>
      </c>
      <c r="K51" s="1" t="s">
        <v>490</v>
      </c>
      <c r="L51" s="1" t="str">
        <f>IF($K51="Hechos de Corrupción","E",IF($K51="Incumplimiento de servicios","A",IF($K51="Retrasos en los servicios","M",IF($K51="Quejas por incumplimientos o retrasos","B",0))))</f>
        <v>M</v>
      </c>
      <c r="M51" s="1" t="s">
        <v>344</v>
      </c>
      <c r="N51" s="1" t="str">
        <f>IF($M51="EXTREMA","E",IF($M51="ALTA","A",IF($M51="MEDIA","M",IF($M51="BAJA","B",0))))</f>
        <v>M</v>
      </c>
      <c r="O51" s="1" t="s">
        <v>513</v>
      </c>
      <c r="P51" s="174" t="str">
        <f t="shared" si="27"/>
        <v>A</v>
      </c>
      <c r="Q51" s="1" t="str">
        <f t="shared" si="4"/>
        <v>B</v>
      </c>
      <c r="R51" s="1" t="str">
        <f t="shared" si="0"/>
        <v>B</v>
      </c>
      <c r="S51" s="1">
        <f t="shared" si="1"/>
        <v>0</v>
      </c>
      <c r="T51" s="1">
        <f t="shared" si="5"/>
        <v>0</v>
      </c>
      <c r="U51" s="1" t="str">
        <f t="shared" si="2"/>
        <v>M</v>
      </c>
      <c r="V51" s="1" t="str">
        <f t="shared" si="13"/>
        <v>M</v>
      </c>
      <c r="W51" s="173" t="str">
        <f t="shared" si="6"/>
        <v>A</v>
      </c>
      <c r="X51" s="5">
        <f t="shared" si="34"/>
        <v>0</v>
      </c>
      <c r="Y51" s="1">
        <f t="shared" si="35"/>
        <v>1</v>
      </c>
      <c r="Z51" s="1">
        <f t="shared" si="36"/>
        <v>2</v>
      </c>
      <c r="AA51" s="174">
        <f t="shared" si="37"/>
        <v>2</v>
      </c>
      <c r="AB51" s="5">
        <f t="shared" si="38"/>
        <v>5</v>
      </c>
      <c r="AC51" s="175" t="str">
        <f t="shared" si="39"/>
        <v>Moderado</v>
      </c>
    </row>
    <row r="52" spans="1:29" ht="60" x14ac:dyDescent="0.25">
      <c r="A52" s="172" t="str">
        <f>+'PRIORIZACIÓN (2)'!B54</f>
        <v>Auditoria Proceso Evaluación y seguimiento - Normas Internacionales de Auditoria - Oficina PAD
Auditorias cruzadas OCI - Alcaldia.</v>
      </c>
      <c r="B52" s="180" t="str">
        <f>+IF('PRIORIZACIÓN (2)'!I54&gt;0%,"YA CUENTA CON PONDERACIÓN DE RIESGOS, NO DILIGENCIAR ANALISIS OCI", "DILIGENCIE ANALISIS OCI PARA ESTA UNIDAD AUDITABLE")</f>
        <v>YA CUENTA CON PONDERACIÓN DE RIESGOS, NO DILIGENCIAR ANALISIS OCI</v>
      </c>
      <c r="C52" s="176" t="s">
        <v>343</v>
      </c>
      <c r="D52" s="1"/>
      <c r="E52" s="1" t="s">
        <v>485</v>
      </c>
      <c r="F52" s="1"/>
      <c r="G52" s="177" t="s">
        <v>345</v>
      </c>
      <c r="H52" s="1"/>
      <c r="I52" s="177" t="s">
        <v>345</v>
      </c>
      <c r="J52" s="1"/>
      <c r="K52" s="1" t="s">
        <v>490</v>
      </c>
      <c r="L52" s="1"/>
      <c r="M52" s="1" t="s">
        <v>345</v>
      </c>
      <c r="N52" s="1"/>
      <c r="O52" s="1" t="s">
        <v>489</v>
      </c>
      <c r="P52" s="174" t="str">
        <f t="shared" si="27"/>
        <v>M</v>
      </c>
      <c r="Q52" s="1" t="str">
        <f t="shared" si="4"/>
        <v>B</v>
      </c>
      <c r="R52" s="1" t="str">
        <f t="shared" si="0"/>
        <v>B</v>
      </c>
      <c r="S52" s="1">
        <f t="shared" si="1"/>
        <v>0</v>
      </c>
      <c r="T52" s="1">
        <f t="shared" si="5"/>
        <v>0</v>
      </c>
      <c r="U52" s="1" t="str">
        <f t="shared" si="2"/>
        <v>M</v>
      </c>
      <c r="V52" s="1">
        <f t="shared" si="13"/>
        <v>0</v>
      </c>
      <c r="W52" s="173" t="str">
        <f t="shared" si="6"/>
        <v>M</v>
      </c>
      <c r="X52" s="5">
        <f t="shared" si="34"/>
        <v>0</v>
      </c>
      <c r="Y52" s="1">
        <f t="shared" si="35"/>
        <v>0</v>
      </c>
      <c r="Z52" s="1">
        <f t="shared" si="36"/>
        <v>2</v>
      </c>
      <c r="AA52" s="174">
        <f t="shared" si="37"/>
        <v>2</v>
      </c>
      <c r="AB52" s="5">
        <f t="shared" si="38"/>
        <v>4</v>
      </c>
      <c r="AC52" s="175" t="str">
        <f t="shared" si="39"/>
        <v>Moderado</v>
      </c>
    </row>
    <row r="53" spans="1:29" ht="30" x14ac:dyDescent="0.25">
      <c r="A53" s="172" t="str">
        <f>+'PRIORIZACIÓN (2)'!B55</f>
        <v>Unidad Auditable 43</v>
      </c>
      <c r="B53" s="180" t="str">
        <f>+IF('PRIORIZACIÓN (2)'!I55&gt;0%,"YA CUENTA CON PONDERACIÓN DE RIESGOS, NO DILIGENCIAR ANALISIS OCI", "DILIGENCIE ANALISIS OCI PARA ESTA UNIDAD AUDITABLE")</f>
        <v>DILIGENCIE ANALISIS OCI PARA ESTA UNIDAD AUDITABLE</v>
      </c>
      <c r="C53" s="176"/>
      <c r="D53" s="1">
        <f t="shared" ref="D53:D73" si="40">IF($C53="EXTREMA","E",IF($C53="ALTA","A",IF($C53="MEDIA","M",IF($C53="BAJA","B",0))))</f>
        <v>0</v>
      </c>
      <c r="E53" s="1"/>
      <c r="F53" s="1">
        <f t="shared" ref="F53:F90" si="41">IF($E53="3 días","E",IF($E53="2 días","A",IF($E53="1 días","M",IF($E53="Varias horas","B",0))))</f>
        <v>0</v>
      </c>
      <c r="G53" s="177"/>
      <c r="H53" s="1">
        <f t="shared" ref="H53:H73" si="42">IF($G53="EXTREMA","E",IF($G53="ALTA","A",IF($G53="MEDIA","M",IF($G53="BAJA","B",0))))</f>
        <v>0</v>
      </c>
      <c r="I53" s="177"/>
      <c r="J53" s="1">
        <f t="shared" ref="J53:J73" si="43">IF($I53="EXTREMA","E",IF($I53="ALTA","A",IF($I53="MEDIA","M",IF($I53="BAJA","B",0))))</f>
        <v>0</v>
      </c>
      <c r="K53" s="1"/>
      <c r="L53" s="1">
        <f t="shared" ref="L53:L90" si="44">IF($K53="Hechos de Corrupción","E",IF($K53="Incumplimiento de servicios","A",IF($K53="Retrasos en los servicios","M",IF($K53="Quejas por incumplimientos o retrasos","B",0))))</f>
        <v>0</v>
      </c>
      <c r="M53" s="1"/>
      <c r="N53" s="1">
        <f t="shared" ref="N53:N73" si="45">IF($M53="EXTREMA","E",IF($M53="ALTA","A",IF($M53="MEDIA","M",IF($M53="BAJA","B",0))))</f>
        <v>0</v>
      </c>
      <c r="O53" s="1"/>
      <c r="P53" s="174">
        <f t="shared" si="27"/>
        <v>0</v>
      </c>
      <c r="Q53" s="1">
        <f t="shared" si="4"/>
        <v>0</v>
      </c>
      <c r="R53" s="1">
        <f t="shared" si="0"/>
        <v>0</v>
      </c>
      <c r="S53" s="1">
        <f t="shared" si="1"/>
        <v>0</v>
      </c>
      <c r="T53" s="1">
        <f t="shared" si="5"/>
        <v>0</v>
      </c>
      <c r="U53" s="1">
        <f t="shared" si="2"/>
        <v>0</v>
      </c>
      <c r="V53" s="1">
        <f t="shared" si="13"/>
        <v>0</v>
      </c>
      <c r="W53" s="173">
        <f t="shared" si="6"/>
        <v>0</v>
      </c>
      <c r="X53" s="5">
        <f t="shared" si="34"/>
        <v>0</v>
      </c>
      <c r="Y53" s="1">
        <f t="shared" si="35"/>
        <v>0</v>
      </c>
      <c r="Z53" s="1">
        <f t="shared" si="36"/>
        <v>0</v>
      </c>
      <c r="AA53" s="174">
        <f t="shared" si="37"/>
        <v>0</v>
      </c>
      <c r="AB53" s="5">
        <f t="shared" si="38"/>
        <v>0</v>
      </c>
      <c r="AC53" s="175" t="e">
        <f t="shared" si="39"/>
        <v>#DIV/0!</v>
      </c>
    </row>
    <row r="54" spans="1:29" ht="30" x14ac:dyDescent="0.25">
      <c r="A54" s="172" t="str">
        <f>+'PRIORIZACIÓN (2)'!B56</f>
        <v>Unidad Auditable 44</v>
      </c>
      <c r="B54" s="180" t="str">
        <f>+IF('PRIORIZACIÓN (2)'!I56&gt;0%,"YA CUENTA CON PONDERACIÓN DE RIESGOS, NO DILIGENCIAR ANALISIS OCI", "DILIGENCIE ANALISIS OCI PARA ESTA UNIDAD AUDITABLE")</f>
        <v>DILIGENCIE ANALISIS OCI PARA ESTA UNIDAD AUDITABLE</v>
      </c>
      <c r="C54" s="176"/>
      <c r="D54" s="1">
        <f t="shared" si="40"/>
        <v>0</v>
      </c>
      <c r="E54" s="1"/>
      <c r="F54" s="1">
        <f t="shared" si="41"/>
        <v>0</v>
      </c>
      <c r="G54" s="177"/>
      <c r="H54" s="1">
        <f t="shared" si="42"/>
        <v>0</v>
      </c>
      <c r="I54" s="177"/>
      <c r="J54" s="1">
        <f t="shared" si="43"/>
        <v>0</v>
      </c>
      <c r="K54" s="1"/>
      <c r="L54" s="1">
        <f t="shared" si="44"/>
        <v>0</v>
      </c>
      <c r="M54" s="1"/>
      <c r="N54" s="1">
        <f t="shared" si="45"/>
        <v>0</v>
      </c>
      <c r="O54" s="1"/>
      <c r="P54" s="174">
        <f t="shared" si="27"/>
        <v>0</v>
      </c>
      <c r="Q54" s="1">
        <f t="shared" si="4"/>
        <v>0</v>
      </c>
      <c r="R54" s="1">
        <f t="shared" si="0"/>
        <v>0</v>
      </c>
      <c r="S54" s="1">
        <f t="shared" si="1"/>
        <v>0</v>
      </c>
      <c r="T54" s="1">
        <f t="shared" si="5"/>
        <v>0</v>
      </c>
      <c r="U54" s="1">
        <f t="shared" si="2"/>
        <v>0</v>
      </c>
      <c r="V54" s="1">
        <f t="shared" si="13"/>
        <v>0</v>
      </c>
      <c r="W54" s="173">
        <f t="shared" si="6"/>
        <v>0</v>
      </c>
      <c r="X54" s="5">
        <f t="shared" si="34"/>
        <v>0</v>
      </c>
      <c r="Y54" s="1">
        <f t="shared" si="35"/>
        <v>0</v>
      </c>
      <c r="Z54" s="1">
        <f t="shared" si="36"/>
        <v>0</v>
      </c>
      <c r="AA54" s="174">
        <f t="shared" si="37"/>
        <v>0</v>
      </c>
      <c r="AB54" s="5">
        <f t="shared" si="38"/>
        <v>0</v>
      </c>
      <c r="AC54" s="175" t="e">
        <f t="shared" si="39"/>
        <v>#DIV/0!</v>
      </c>
    </row>
    <row r="55" spans="1:29" ht="30" x14ac:dyDescent="0.25">
      <c r="A55" s="172" t="str">
        <f>+'PRIORIZACIÓN (2)'!B57</f>
        <v>Unidad Auditable 45</v>
      </c>
      <c r="B55" s="180" t="str">
        <f>+IF('PRIORIZACIÓN (2)'!I57&gt;0%,"YA CUENTA CON PONDERACIÓN DE RIESGOS, NO DILIGENCIAR ANALISIS OCI", "DILIGENCIE ANALISIS OCI PARA ESTA UNIDAD AUDITABLE")</f>
        <v>DILIGENCIE ANALISIS OCI PARA ESTA UNIDAD AUDITABLE</v>
      </c>
      <c r="C55" s="176"/>
      <c r="D55" s="1">
        <f t="shared" si="40"/>
        <v>0</v>
      </c>
      <c r="E55" s="1"/>
      <c r="F55" s="1">
        <f t="shared" si="41"/>
        <v>0</v>
      </c>
      <c r="G55" s="177"/>
      <c r="H55" s="1">
        <f t="shared" si="42"/>
        <v>0</v>
      </c>
      <c r="I55" s="177"/>
      <c r="J55" s="1">
        <f t="shared" si="43"/>
        <v>0</v>
      </c>
      <c r="K55" s="1"/>
      <c r="L55" s="1">
        <f t="shared" si="44"/>
        <v>0</v>
      </c>
      <c r="M55" s="1"/>
      <c r="N55" s="1">
        <f t="shared" si="45"/>
        <v>0</v>
      </c>
      <c r="O55" s="1"/>
      <c r="P55" s="174">
        <f t="shared" si="27"/>
        <v>0</v>
      </c>
      <c r="Q55" s="1">
        <f t="shared" si="4"/>
        <v>0</v>
      </c>
      <c r="R55" s="1">
        <f t="shared" si="0"/>
        <v>0</v>
      </c>
      <c r="S55" s="1">
        <f t="shared" si="1"/>
        <v>0</v>
      </c>
      <c r="T55" s="1">
        <f t="shared" si="5"/>
        <v>0</v>
      </c>
      <c r="U55" s="1">
        <f t="shared" si="2"/>
        <v>0</v>
      </c>
      <c r="V55" s="1">
        <f t="shared" si="13"/>
        <v>0</v>
      </c>
      <c r="W55" s="173">
        <f t="shared" si="6"/>
        <v>0</v>
      </c>
      <c r="X55" s="5">
        <f t="shared" si="34"/>
        <v>0</v>
      </c>
      <c r="Y55" s="1">
        <f t="shared" si="35"/>
        <v>0</v>
      </c>
      <c r="Z55" s="1">
        <f t="shared" si="36"/>
        <v>0</v>
      </c>
      <c r="AA55" s="174">
        <f t="shared" si="37"/>
        <v>0</v>
      </c>
      <c r="AB55" s="5">
        <f t="shared" si="38"/>
        <v>0</v>
      </c>
      <c r="AC55" s="175" t="e">
        <f t="shared" si="39"/>
        <v>#DIV/0!</v>
      </c>
    </row>
    <row r="56" spans="1:29" ht="30" x14ac:dyDescent="0.25">
      <c r="A56" s="172" t="str">
        <f>+'PRIORIZACIÓN (2)'!B58</f>
        <v>Unidad Auditable 46</v>
      </c>
      <c r="B56" s="180" t="str">
        <f>+IF('PRIORIZACIÓN (2)'!I58&gt;0%,"YA CUENTA CON PONDERACIÓN DE RIESGOS, NO DILIGENCIAR ANALISIS OCI", "DILIGENCIE ANALISIS OCI PARA ESTA UNIDAD AUDITABLE")</f>
        <v>DILIGENCIE ANALISIS OCI PARA ESTA UNIDAD AUDITABLE</v>
      </c>
      <c r="C56" s="176"/>
      <c r="D56" s="1">
        <f t="shared" si="40"/>
        <v>0</v>
      </c>
      <c r="E56" s="1"/>
      <c r="F56" s="1">
        <f t="shared" si="41"/>
        <v>0</v>
      </c>
      <c r="G56" s="177"/>
      <c r="H56" s="1">
        <f t="shared" si="42"/>
        <v>0</v>
      </c>
      <c r="I56" s="177"/>
      <c r="J56" s="1">
        <f t="shared" si="43"/>
        <v>0</v>
      </c>
      <c r="K56" s="1"/>
      <c r="L56" s="1">
        <f t="shared" si="44"/>
        <v>0</v>
      </c>
      <c r="M56" s="1"/>
      <c r="N56" s="1">
        <f t="shared" si="45"/>
        <v>0</v>
      </c>
      <c r="O56" s="1"/>
      <c r="P56" s="174">
        <f t="shared" si="27"/>
        <v>0</v>
      </c>
      <c r="Q56" s="1">
        <f t="shared" si="4"/>
        <v>0</v>
      </c>
      <c r="R56" s="1">
        <f t="shared" si="0"/>
        <v>0</v>
      </c>
      <c r="S56" s="1">
        <f t="shared" si="1"/>
        <v>0</v>
      </c>
      <c r="T56" s="1">
        <f t="shared" si="5"/>
        <v>0</v>
      </c>
      <c r="U56" s="1">
        <f t="shared" si="2"/>
        <v>0</v>
      </c>
      <c r="V56" s="1">
        <f t="shared" si="13"/>
        <v>0</v>
      </c>
      <c r="W56" s="173">
        <f t="shared" si="6"/>
        <v>0</v>
      </c>
      <c r="X56" s="5">
        <f t="shared" si="34"/>
        <v>0</v>
      </c>
      <c r="Y56" s="1">
        <f t="shared" si="35"/>
        <v>0</v>
      </c>
      <c r="Z56" s="1">
        <f t="shared" si="36"/>
        <v>0</v>
      </c>
      <c r="AA56" s="174">
        <f t="shared" si="37"/>
        <v>0</v>
      </c>
      <c r="AB56" s="5">
        <f t="shared" si="38"/>
        <v>0</v>
      </c>
      <c r="AC56" s="175" t="e">
        <f t="shared" si="39"/>
        <v>#DIV/0!</v>
      </c>
    </row>
    <row r="57" spans="1:29" ht="30" x14ac:dyDescent="0.25">
      <c r="A57" s="172" t="str">
        <f>+'PRIORIZACIÓN (2)'!B59</f>
        <v>Unidad Auditable 47</v>
      </c>
      <c r="B57" s="180" t="str">
        <f>+IF('PRIORIZACIÓN (2)'!I59&gt;0%,"YA CUENTA CON PONDERACIÓN DE RIESGOS, NO DILIGENCIAR ANALISIS OCI", "DILIGENCIE ANALISIS OCI PARA ESTA UNIDAD AUDITABLE")</f>
        <v>DILIGENCIE ANALISIS OCI PARA ESTA UNIDAD AUDITABLE</v>
      </c>
      <c r="C57" s="176"/>
      <c r="D57" s="1">
        <f t="shared" si="40"/>
        <v>0</v>
      </c>
      <c r="E57" s="1"/>
      <c r="F57" s="1">
        <f t="shared" si="41"/>
        <v>0</v>
      </c>
      <c r="G57" s="177"/>
      <c r="H57" s="1">
        <f t="shared" si="42"/>
        <v>0</v>
      </c>
      <c r="I57" s="177"/>
      <c r="J57" s="1">
        <f t="shared" si="43"/>
        <v>0</v>
      </c>
      <c r="K57" s="1"/>
      <c r="L57" s="1">
        <f t="shared" si="44"/>
        <v>0</v>
      </c>
      <c r="M57" s="1"/>
      <c r="N57" s="1">
        <f t="shared" si="45"/>
        <v>0</v>
      </c>
      <c r="O57" s="1"/>
      <c r="P57" s="174">
        <f t="shared" si="27"/>
        <v>0</v>
      </c>
      <c r="Q57" s="1">
        <f t="shared" si="4"/>
        <v>0</v>
      </c>
      <c r="R57" s="1">
        <f t="shared" si="0"/>
        <v>0</v>
      </c>
      <c r="S57" s="1">
        <f t="shared" si="1"/>
        <v>0</v>
      </c>
      <c r="T57" s="1">
        <f t="shared" si="5"/>
        <v>0</v>
      </c>
      <c r="U57" s="1">
        <f t="shared" si="2"/>
        <v>0</v>
      </c>
      <c r="V57" s="1">
        <f t="shared" si="13"/>
        <v>0</v>
      </c>
      <c r="W57" s="173">
        <f t="shared" si="6"/>
        <v>0</v>
      </c>
      <c r="X57" s="5">
        <f t="shared" si="34"/>
        <v>0</v>
      </c>
      <c r="Y57" s="1">
        <f t="shared" si="35"/>
        <v>0</v>
      </c>
      <c r="Z57" s="1">
        <f t="shared" si="36"/>
        <v>0</v>
      </c>
      <c r="AA57" s="174">
        <f t="shared" si="37"/>
        <v>0</v>
      </c>
      <c r="AB57" s="5">
        <f t="shared" si="38"/>
        <v>0</v>
      </c>
      <c r="AC57" s="175" t="e">
        <f t="shared" si="39"/>
        <v>#DIV/0!</v>
      </c>
    </row>
    <row r="58" spans="1:29" ht="30" x14ac:dyDescent="0.25">
      <c r="A58" s="172" t="str">
        <f>+'PRIORIZACIÓN (2)'!B60</f>
        <v>Unidad Auditable 48</v>
      </c>
      <c r="B58" s="180" t="str">
        <f>+IF('PRIORIZACIÓN (2)'!I60&gt;0%,"YA CUENTA CON PONDERACIÓN DE RIESGOS, NO DILIGENCIAR ANALISIS OCI", "DILIGENCIE ANALISIS OCI PARA ESTA UNIDAD AUDITABLE")</f>
        <v>DILIGENCIE ANALISIS OCI PARA ESTA UNIDAD AUDITABLE</v>
      </c>
      <c r="C58" s="176"/>
      <c r="D58" s="1">
        <f t="shared" si="40"/>
        <v>0</v>
      </c>
      <c r="E58" s="1"/>
      <c r="F58" s="1">
        <f t="shared" si="41"/>
        <v>0</v>
      </c>
      <c r="G58" s="177"/>
      <c r="H58" s="1">
        <f t="shared" si="42"/>
        <v>0</v>
      </c>
      <c r="I58" s="177"/>
      <c r="J58" s="1">
        <f t="shared" si="43"/>
        <v>0</v>
      </c>
      <c r="K58" s="1"/>
      <c r="L58" s="1">
        <f t="shared" si="44"/>
        <v>0</v>
      </c>
      <c r="M58" s="1"/>
      <c r="N58" s="1">
        <f t="shared" si="45"/>
        <v>0</v>
      </c>
      <c r="O58" s="1"/>
      <c r="P58" s="174">
        <f t="shared" si="27"/>
        <v>0</v>
      </c>
      <c r="Q58" s="1">
        <f t="shared" si="4"/>
        <v>0</v>
      </c>
      <c r="R58" s="1">
        <f t="shared" si="0"/>
        <v>0</v>
      </c>
      <c r="S58" s="1">
        <f t="shared" si="1"/>
        <v>0</v>
      </c>
      <c r="T58" s="1">
        <f t="shared" si="5"/>
        <v>0</v>
      </c>
      <c r="U58" s="1">
        <f t="shared" si="2"/>
        <v>0</v>
      </c>
      <c r="V58" s="1">
        <f t="shared" si="13"/>
        <v>0</v>
      </c>
      <c r="W58" s="173">
        <f t="shared" si="6"/>
        <v>0</v>
      </c>
      <c r="X58" s="5">
        <f t="shared" si="34"/>
        <v>0</v>
      </c>
      <c r="Y58" s="1">
        <f t="shared" si="35"/>
        <v>0</v>
      </c>
      <c r="Z58" s="1">
        <f t="shared" si="36"/>
        <v>0</v>
      </c>
      <c r="AA58" s="174">
        <f t="shared" si="37"/>
        <v>0</v>
      </c>
      <c r="AB58" s="5">
        <f t="shared" si="38"/>
        <v>0</v>
      </c>
      <c r="AC58" s="175" t="e">
        <f t="shared" si="39"/>
        <v>#DIV/0!</v>
      </c>
    </row>
    <row r="59" spans="1:29" ht="30" x14ac:dyDescent="0.25">
      <c r="A59" s="172" t="str">
        <f>+'PRIORIZACIÓN (2)'!B61</f>
        <v>Unidad Auditable 49</v>
      </c>
      <c r="B59" s="180" t="str">
        <f>+IF('PRIORIZACIÓN (2)'!I61&gt;0%,"YA CUENTA CON PONDERACIÓN DE RIESGOS, NO DILIGENCIAR ANALISIS OCI", "DILIGENCIE ANALISIS OCI PARA ESTA UNIDAD AUDITABLE")</f>
        <v>DILIGENCIE ANALISIS OCI PARA ESTA UNIDAD AUDITABLE</v>
      </c>
      <c r="C59" s="176"/>
      <c r="D59" s="1">
        <f t="shared" si="40"/>
        <v>0</v>
      </c>
      <c r="E59" s="1"/>
      <c r="F59" s="1">
        <f t="shared" si="41"/>
        <v>0</v>
      </c>
      <c r="G59" s="177"/>
      <c r="H59" s="1">
        <f t="shared" si="42"/>
        <v>0</v>
      </c>
      <c r="I59" s="177"/>
      <c r="J59" s="1">
        <f t="shared" si="43"/>
        <v>0</v>
      </c>
      <c r="K59" s="1"/>
      <c r="L59" s="1">
        <f t="shared" si="44"/>
        <v>0</v>
      </c>
      <c r="M59" s="1"/>
      <c r="N59" s="1">
        <f t="shared" si="45"/>
        <v>0</v>
      </c>
      <c r="O59" s="1"/>
      <c r="P59" s="174">
        <f t="shared" si="27"/>
        <v>0</v>
      </c>
      <c r="Q59" s="1">
        <f t="shared" si="4"/>
        <v>0</v>
      </c>
      <c r="R59" s="1">
        <f t="shared" si="0"/>
        <v>0</v>
      </c>
      <c r="S59" s="1">
        <f t="shared" si="1"/>
        <v>0</v>
      </c>
      <c r="T59" s="1">
        <f t="shared" si="5"/>
        <v>0</v>
      </c>
      <c r="U59" s="1">
        <f t="shared" si="2"/>
        <v>0</v>
      </c>
      <c r="V59" s="1">
        <f t="shared" si="13"/>
        <v>0</v>
      </c>
      <c r="W59" s="173">
        <f t="shared" si="6"/>
        <v>0</v>
      </c>
      <c r="X59" s="5">
        <f t="shared" si="34"/>
        <v>0</v>
      </c>
      <c r="Y59" s="1">
        <f t="shared" si="35"/>
        <v>0</v>
      </c>
      <c r="Z59" s="1">
        <f t="shared" si="36"/>
        <v>0</v>
      </c>
      <c r="AA59" s="174">
        <f t="shared" si="37"/>
        <v>0</v>
      </c>
      <c r="AB59" s="5">
        <f t="shared" si="38"/>
        <v>0</v>
      </c>
      <c r="AC59" s="175" t="e">
        <f t="shared" si="39"/>
        <v>#DIV/0!</v>
      </c>
    </row>
    <row r="60" spans="1:29" ht="30" x14ac:dyDescent="0.25">
      <c r="A60" s="172" t="str">
        <f>+'PRIORIZACIÓN (2)'!B62</f>
        <v>Unidad Auditable 50</v>
      </c>
      <c r="B60" s="180" t="str">
        <f>+IF('PRIORIZACIÓN (2)'!I62&gt;0%,"YA CUENTA CON PONDERACIÓN DE RIESGOS, NO DILIGENCIAR ANALISIS OCI", "DILIGENCIE ANALISIS OCI PARA ESTA UNIDAD AUDITABLE")</f>
        <v>DILIGENCIE ANALISIS OCI PARA ESTA UNIDAD AUDITABLE</v>
      </c>
      <c r="C60" s="176"/>
      <c r="D60" s="1">
        <f t="shared" si="40"/>
        <v>0</v>
      </c>
      <c r="E60" s="1"/>
      <c r="F60" s="1">
        <f t="shared" si="41"/>
        <v>0</v>
      </c>
      <c r="G60" s="177"/>
      <c r="H60" s="1">
        <f t="shared" si="42"/>
        <v>0</v>
      </c>
      <c r="I60" s="177"/>
      <c r="J60" s="1">
        <f t="shared" si="43"/>
        <v>0</v>
      </c>
      <c r="K60" s="1"/>
      <c r="L60" s="1">
        <f t="shared" si="44"/>
        <v>0</v>
      </c>
      <c r="M60" s="1"/>
      <c r="N60" s="1">
        <f t="shared" si="45"/>
        <v>0</v>
      </c>
      <c r="O60" s="1"/>
      <c r="P60" s="174">
        <f t="shared" si="27"/>
        <v>0</v>
      </c>
      <c r="Q60" s="1">
        <f t="shared" si="4"/>
        <v>0</v>
      </c>
      <c r="R60" s="1">
        <f t="shared" si="0"/>
        <v>0</v>
      </c>
      <c r="S60" s="1">
        <f t="shared" si="1"/>
        <v>0</v>
      </c>
      <c r="T60" s="1">
        <f t="shared" si="5"/>
        <v>0</v>
      </c>
      <c r="U60" s="1">
        <f t="shared" si="2"/>
        <v>0</v>
      </c>
      <c r="V60" s="1">
        <f t="shared" si="13"/>
        <v>0</v>
      </c>
      <c r="W60" s="173">
        <f t="shared" si="6"/>
        <v>0</v>
      </c>
      <c r="X60" s="5">
        <f t="shared" si="34"/>
        <v>0</v>
      </c>
      <c r="Y60" s="1">
        <f t="shared" si="35"/>
        <v>0</v>
      </c>
      <c r="Z60" s="1">
        <f t="shared" si="36"/>
        <v>0</v>
      </c>
      <c r="AA60" s="174">
        <f t="shared" si="37"/>
        <v>0</v>
      </c>
      <c r="AB60" s="5">
        <f t="shared" si="38"/>
        <v>0</v>
      </c>
      <c r="AC60" s="175" t="e">
        <f t="shared" si="39"/>
        <v>#DIV/0!</v>
      </c>
    </row>
    <row r="61" spans="1:29" ht="30" x14ac:dyDescent="0.25">
      <c r="A61" s="172" t="str">
        <f>+'PRIORIZACIÓN (2)'!B63</f>
        <v>Unidad Auditable 51</v>
      </c>
      <c r="B61" s="180" t="str">
        <f>+IF('PRIORIZACIÓN (2)'!I63&gt;0%,"YA CUENTA CON PONDERACIÓN DE RIESGOS, NO DILIGENCIAR ANALISIS OCI", "DILIGENCIE ANALISIS OCI PARA ESTA UNIDAD AUDITABLE")</f>
        <v>DILIGENCIE ANALISIS OCI PARA ESTA UNIDAD AUDITABLE</v>
      </c>
      <c r="C61" s="176"/>
      <c r="D61" s="1">
        <f t="shared" si="40"/>
        <v>0</v>
      </c>
      <c r="E61" s="1"/>
      <c r="F61" s="1">
        <f t="shared" si="41"/>
        <v>0</v>
      </c>
      <c r="G61" s="177"/>
      <c r="H61" s="1">
        <f t="shared" si="42"/>
        <v>0</v>
      </c>
      <c r="I61" s="177"/>
      <c r="J61" s="1">
        <f t="shared" si="43"/>
        <v>0</v>
      </c>
      <c r="K61" s="1"/>
      <c r="L61" s="1">
        <f t="shared" si="44"/>
        <v>0</v>
      </c>
      <c r="M61" s="1"/>
      <c r="N61" s="1">
        <f t="shared" si="45"/>
        <v>0</v>
      </c>
      <c r="O61" s="1"/>
      <c r="P61" s="174">
        <f t="shared" si="27"/>
        <v>0</v>
      </c>
      <c r="Q61" s="1">
        <f t="shared" si="4"/>
        <v>0</v>
      </c>
      <c r="R61" s="1">
        <f t="shared" si="0"/>
        <v>0</v>
      </c>
      <c r="S61" s="1">
        <f t="shared" si="1"/>
        <v>0</v>
      </c>
      <c r="T61" s="1">
        <f t="shared" si="5"/>
        <v>0</v>
      </c>
      <c r="U61" s="1">
        <f t="shared" si="2"/>
        <v>0</v>
      </c>
      <c r="V61" s="1">
        <f t="shared" si="13"/>
        <v>0</v>
      </c>
      <c r="W61" s="173">
        <f t="shared" si="6"/>
        <v>0</v>
      </c>
      <c r="X61" s="5">
        <f t="shared" si="34"/>
        <v>0</v>
      </c>
      <c r="Y61" s="1">
        <f t="shared" si="35"/>
        <v>0</v>
      </c>
      <c r="Z61" s="1">
        <f t="shared" si="36"/>
        <v>0</v>
      </c>
      <c r="AA61" s="174">
        <f t="shared" si="37"/>
        <v>0</v>
      </c>
      <c r="AB61" s="5">
        <f t="shared" si="38"/>
        <v>0</v>
      </c>
      <c r="AC61" s="175" t="e">
        <f t="shared" si="39"/>
        <v>#DIV/0!</v>
      </c>
    </row>
    <row r="62" spans="1:29" ht="30" x14ac:dyDescent="0.25">
      <c r="A62" s="172" t="str">
        <f>+'PRIORIZACIÓN (2)'!B64</f>
        <v>Unidad Auditable 52</v>
      </c>
      <c r="B62" s="180" t="str">
        <f>+IF('PRIORIZACIÓN (2)'!I64&gt;0%,"YA CUENTA CON PONDERACIÓN DE RIESGOS, NO DILIGENCIAR ANALISIS OCI", "DILIGENCIE ANALISIS OCI PARA ESTA UNIDAD AUDITABLE")</f>
        <v>DILIGENCIE ANALISIS OCI PARA ESTA UNIDAD AUDITABLE</v>
      </c>
      <c r="C62" s="176"/>
      <c r="D62" s="1">
        <f t="shared" si="40"/>
        <v>0</v>
      </c>
      <c r="E62" s="1"/>
      <c r="F62" s="1">
        <f t="shared" si="41"/>
        <v>0</v>
      </c>
      <c r="G62" s="177"/>
      <c r="H62" s="1">
        <f t="shared" si="42"/>
        <v>0</v>
      </c>
      <c r="I62" s="177"/>
      <c r="J62" s="1">
        <f t="shared" si="43"/>
        <v>0</v>
      </c>
      <c r="K62" s="1"/>
      <c r="L62" s="1">
        <f t="shared" si="44"/>
        <v>0</v>
      </c>
      <c r="M62" s="1"/>
      <c r="N62" s="1">
        <f t="shared" si="45"/>
        <v>0</v>
      </c>
      <c r="O62" s="1"/>
      <c r="P62" s="174">
        <f t="shared" si="27"/>
        <v>0</v>
      </c>
      <c r="Q62" s="1">
        <f t="shared" si="4"/>
        <v>0</v>
      </c>
      <c r="R62" s="1">
        <f t="shared" si="0"/>
        <v>0</v>
      </c>
      <c r="S62" s="1">
        <f t="shared" si="1"/>
        <v>0</v>
      </c>
      <c r="T62" s="1">
        <f t="shared" si="5"/>
        <v>0</v>
      </c>
      <c r="U62" s="1">
        <f t="shared" si="2"/>
        <v>0</v>
      </c>
      <c r="V62" s="1">
        <f t="shared" si="13"/>
        <v>0</v>
      </c>
      <c r="W62" s="173">
        <f t="shared" si="6"/>
        <v>0</v>
      </c>
      <c r="X62" s="5">
        <f t="shared" si="34"/>
        <v>0</v>
      </c>
      <c r="Y62" s="1">
        <f t="shared" si="35"/>
        <v>0</v>
      </c>
      <c r="Z62" s="1">
        <f t="shared" si="36"/>
        <v>0</v>
      </c>
      <c r="AA62" s="174">
        <f t="shared" si="37"/>
        <v>0</v>
      </c>
      <c r="AB62" s="5">
        <f t="shared" si="38"/>
        <v>0</v>
      </c>
      <c r="AC62" s="175" t="e">
        <f t="shared" si="39"/>
        <v>#DIV/0!</v>
      </c>
    </row>
    <row r="63" spans="1:29" ht="30" x14ac:dyDescent="0.25">
      <c r="A63" s="172" t="str">
        <f>+'PRIORIZACIÓN (2)'!B65</f>
        <v>Unidad Auditable 53</v>
      </c>
      <c r="B63" s="180" t="str">
        <f>+IF('PRIORIZACIÓN (2)'!I65&gt;0%,"YA CUENTA CON PONDERACIÓN DE RIESGOS, NO DILIGENCIAR ANALISIS OCI", "DILIGENCIE ANALISIS OCI PARA ESTA UNIDAD AUDITABLE")</f>
        <v>DILIGENCIE ANALISIS OCI PARA ESTA UNIDAD AUDITABLE</v>
      </c>
      <c r="C63" s="176"/>
      <c r="D63" s="1">
        <f t="shared" si="40"/>
        <v>0</v>
      </c>
      <c r="E63" s="1"/>
      <c r="F63" s="1">
        <f t="shared" si="41"/>
        <v>0</v>
      </c>
      <c r="G63" s="177"/>
      <c r="H63" s="1">
        <f t="shared" si="42"/>
        <v>0</v>
      </c>
      <c r="I63" s="177"/>
      <c r="J63" s="1">
        <f t="shared" si="43"/>
        <v>0</v>
      </c>
      <c r="K63" s="1"/>
      <c r="L63" s="1">
        <f t="shared" si="44"/>
        <v>0</v>
      </c>
      <c r="M63" s="1"/>
      <c r="N63" s="1">
        <f t="shared" si="45"/>
        <v>0</v>
      </c>
      <c r="O63" s="1"/>
      <c r="P63" s="174">
        <f t="shared" si="27"/>
        <v>0</v>
      </c>
      <c r="Q63" s="1">
        <f t="shared" si="4"/>
        <v>0</v>
      </c>
      <c r="R63" s="1">
        <f t="shared" si="0"/>
        <v>0</v>
      </c>
      <c r="S63" s="1">
        <f t="shared" si="1"/>
        <v>0</v>
      </c>
      <c r="T63" s="1">
        <f t="shared" si="5"/>
        <v>0</v>
      </c>
      <c r="U63" s="1">
        <f t="shared" si="2"/>
        <v>0</v>
      </c>
      <c r="V63" s="1">
        <f t="shared" si="13"/>
        <v>0</v>
      </c>
      <c r="W63" s="173">
        <f t="shared" si="6"/>
        <v>0</v>
      </c>
      <c r="X63" s="5">
        <f t="shared" si="34"/>
        <v>0</v>
      </c>
      <c r="Y63" s="1">
        <f t="shared" si="35"/>
        <v>0</v>
      </c>
      <c r="Z63" s="1">
        <f t="shared" si="36"/>
        <v>0</v>
      </c>
      <c r="AA63" s="174">
        <f t="shared" si="37"/>
        <v>0</v>
      </c>
      <c r="AB63" s="5">
        <f t="shared" si="38"/>
        <v>0</v>
      </c>
      <c r="AC63" s="175" t="e">
        <f t="shared" si="39"/>
        <v>#DIV/0!</v>
      </c>
    </row>
    <row r="64" spans="1:29" ht="30" x14ac:dyDescent="0.25">
      <c r="A64" s="172" t="str">
        <f>+'PRIORIZACIÓN (2)'!B66</f>
        <v>Unidad Auditable 54</v>
      </c>
      <c r="B64" s="180" t="str">
        <f>+IF('PRIORIZACIÓN (2)'!I66&gt;0%,"YA CUENTA CON PONDERACIÓN DE RIESGOS, NO DILIGENCIAR ANALISIS OCI", "DILIGENCIE ANALISIS OCI PARA ESTA UNIDAD AUDITABLE")</f>
        <v>DILIGENCIE ANALISIS OCI PARA ESTA UNIDAD AUDITABLE</v>
      </c>
      <c r="C64" s="176"/>
      <c r="D64" s="1">
        <f t="shared" si="40"/>
        <v>0</v>
      </c>
      <c r="E64" s="1"/>
      <c r="F64" s="1">
        <f t="shared" si="41"/>
        <v>0</v>
      </c>
      <c r="G64" s="177"/>
      <c r="H64" s="1">
        <f t="shared" si="42"/>
        <v>0</v>
      </c>
      <c r="I64" s="177"/>
      <c r="J64" s="1">
        <f t="shared" si="43"/>
        <v>0</v>
      </c>
      <c r="K64" s="1"/>
      <c r="L64" s="1">
        <f t="shared" si="44"/>
        <v>0</v>
      </c>
      <c r="M64" s="1"/>
      <c r="N64" s="1">
        <f t="shared" si="45"/>
        <v>0</v>
      </c>
      <c r="O64" s="1"/>
      <c r="P64" s="174">
        <f t="shared" si="27"/>
        <v>0</v>
      </c>
      <c r="Q64" s="1">
        <f t="shared" si="4"/>
        <v>0</v>
      </c>
      <c r="R64" s="1">
        <f t="shared" si="0"/>
        <v>0</v>
      </c>
      <c r="S64" s="1">
        <f t="shared" si="1"/>
        <v>0</v>
      </c>
      <c r="T64" s="1">
        <f t="shared" si="5"/>
        <v>0</v>
      </c>
      <c r="U64" s="1">
        <f t="shared" si="2"/>
        <v>0</v>
      </c>
      <c r="V64" s="1">
        <f t="shared" si="13"/>
        <v>0</v>
      </c>
      <c r="W64" s="173">
        <f t="shared" si="6"/>
        <v>0</v>
      </c>
      <c r="X64" s="5">
        <f t="shared" si="34"/>
        <v>0</v>
      </c>
      <c r="Y64" s="1">
        <f t="shared" si="35"/>
        <v>0</v>
      </c>
      <c r="Z64" s="1">
        <f t="shared" si="36"/>
        <v>0</v>
      </c>
      <c r="AA64" s="174">
        <f t="shared" si="37"/>
        <v>0</v>
      </c>
      <c r="AB64" s="5">
        <f t="shared" si="38"/>
        <v>0</v>
      </c>
      <c r="AC64" s="175" t="e">
        <f t="shared" si="39"/>
        <v>#DIV/0!</v>
      </c>
    </row>
    <row r="65" spans="1:29" ht="30" x14ac:dyDescent="0.25">
      <c r="A65" s="172" t="str">
        <f>+'PRIORIZACIÓN (2)'!B67</f>
        <v>Unidad Auditable 55</v>
      </c>
      <c r="B65" s="180" t="str">
        <f>+IF('PRIORIZACIÓN (2)'!I67&gt;0%,"YA CUENTA CON PONDERACIÓN DE RIESGOS, NO DILIGENCIAR ANALISIS OCI", "DILIGENCIE ANALISIS OCI PARA ESTA UNIDAD AUDITABLE")</f>
        <v>DILIGENCIE ANALISIS OCI PARA ESTA UNIDAD AUDITABLE</v>
      </c>
      <c r="C65" s="176"/>
      <c r="D65" s="1">
        <f t="shared" si="40"/>
        <v>0</v>
      </c>
      <c r="E65" s="1"/>
      <c r="F65" s="1">
        <f t="shared" si="41"/>
        <v>0</v>
      </c>
      <c r="G65" s="177"/>
      <c r="H65" s="1">
        <f t="shared" si="42"/>
        <v>0</v>
      </c>
      <c r="I65" s="177"/>
      <c r="J65" s="1">
        <f t="shared" si="43"/>
        <v>0</v>
      </c>
      <c r="K65" s="1"/>
      <c r="L65" s="1">
        <f t="shared" si="44"/>
        <v>0</v>
      </c>
      <c r="M65" s="1"/>
      <c r="N65" s="1">
        <f t="shared" si="45"/>
        <v>0</v>
      </c>
      <c r="O65" s="1"/>
      <c r="P65" s="174">
        <f t="shared" si="27"/>
        <v>0</v>
      </c>
      <c r="Q65" s="1">
        <f t="shared" si="4"/>
        <v>0</v>
      </c>
      <c r="R65" s="1">
        <f t="shared" si="0"/>
        <v>0</v>
      </c>
      <c r="S65" s="1">
        <f t="shared" si="1"/>
        <v>0</v>
      </c>
      <c r="T65" s="1">
        <f t="shared" si="5"/>
        <v>0</v>
      </c>
      <c r="U65" s="1">
        <f t="shared" si="2"/>
        <v>0</v>
      </c>
      <c r="V65" s="1">
        <f t="shared" si="13"/>
        <v>0</v>
      </c>
      <c r="W65" s="173">
        <f t="shared" si="6"/>
        <v>0</v>
      </c>
      <c r="X65" s="5">
        <f t="shared" si="34"/>
        <v>0</v>
      </c>
      <c r="Y65" s="1">
        <f t="shared" si="35"/>
        <v>0</v>
      </c>
      <c r="Z65" s="1">
        <f t="shared" si="36"/>
        <v>0</v>
      </c>
      <c r="AA65" s="174">
        <f t="shared" si="37"/>
        <v>0</v>
      </c>
      <c r="AB65" s="5">
        <f t="shared" si="38"/>
        <v>0</v>
      </c>
      <c r="AC65" s="175" t="e">
        <f t="shared" si="39"/>
        <v>#DIV/0!</v>
      </c>
    </row>
    <row r="66" spans="1:29" ht="30" x14ac:dyDescent="0.25">
      <c r="A66" s="172" t="str">
        <f>+'PRIORIZACIÓN (2)'!B68</f>
        <v>Unidad Auditable 56</v>
      </c>
      <c r="B66" s="180" t="str">
        <f>+IF('PRIORIZACIÓN (2)'!I68&gt;0%,"YA CUENTA CON PONDERACIÓN DE RIESGOS, NO DILIGENCIAR ANALISIS OCI", "DILIGENCIE ANALISIS OCI PARA ESTA UNIDAD AUDITABLE")</f>
        <v>DILIGENCIE ANALISIS OCI PARA ESTA UNIDAD AUDITABLE</v>
      </c>
      <c r="C66" s="176"/>
      <c r="D66" s="1">
        <f t="shared" si="40"/>
        <v>0</v>
      </c>
      <c r="E66" s="1"/>
      <c r="F66" s="1">
        <f t="shared" si="41"/>
        <v>0</v>
      </c>
      <c r="G66" s="177"/>
      <c r="H66" s="1">
        <f t="shared" si="42"/>
        <v>0</v>
      </c>
      <c r="I66" s="177"/>
      <c r="J66" s="1">
        <f t="shared" si="43"/>
        <v>0</v>
      </c>
      <c r="K66" s="1"/>
      <c r="L66" s="1">
        <f t="shared" si="44"/>
        <v>0</v>
      </c>
      <c r="M66" s="1"/>
      <c r="N66" s="1">
        <f t="shared" si="45"/>
        <v>0</v>
      </c>
      <c r="O66" s="1"/>
      <c r="P66" s="174">
        <f t="shared" si="27"/>
        <v>0</v>
      </c>
      <c r="Q66" s="1">
        <f t="shared" si="4"/>
        <v>0</v>
      </c>
      <c r="R66" s="1">
        <f t="shared" si="0"/>
        <v>0</v>
      </c>
      <c r="S66" s="1">
        <f t="shared" si="1"/>
        <v>0</v>
      </c>
      <c r="T66" s="1">
        <f t="shared" si="5"/>
        <v>0</v>
      </c>
      <c r="U66" s="1">
        <f t="shared" si="2"/>
        <v>0</v>
      </c>
      <c r="V66" s="1">
        <f t="shared" si="13"/>
        <v>0</v>
      </c>
      <c r="W66" s="173">
        <f t="shared" si="6"/>
        <v>0</v>
      </c>
      <c r="X66" s="5">
        <f t="shared" si="34"/>
        <v>0</v>
      </c>
      <c r="Y66" s="1">
        <f t="shared" si="35"/>
        <v>0</v>
      </c>
      <c r="Z66" s="1">
        <f t="shared" si="36"/>
        <v>0</v>
      </c>
      <c r="AA66" s="174">
        <f t="shared" si="37"/>
        <v>0</v>
      </c>
      <c r="AB66" s="5">
        <f t="shared" si="38"/>
        <v>0</v>
      </c>
      <c r="AC66" s="175" t="e">
        <f t="shared" si="39"/>
        <v>#DIV/0!</v>
      </c>
    </row>
    <row r="67" spans="1:29" ht="30" x14ac:dyDescent="0.25">
      <c r="A67" s="172" t="str">
        <f>+'PRIORIZACIÓN (2)'!B69</f>
        <v>Unidad Auditable 57</v>
      </c>
      <c r="B67" s="180" t="str">
        <f>+IF('PRIORIZACIÓN (2)'!I69&gt;0%,"YA CUENTA CON PONDERACIÓN DE RIESGOS, NO DILIGENCIAR ANALISIS OCI", "DILIGENCIE ANALISIS OCI PARA ESTA UNIDAD AUDITABLE")</f>
        <v>DILIGENCIE ANALISIS OCI PARA ESTA UNIDAD AUDITABLE</v>
      </c>
      <c r="C67" s="176"/>
      <c r="D67" s="1">
        <f t="shared" si="40"/>
        <v>0</v>
      </c>
      <c r="E67" s="1"/>
      <c r="F67" s="1">
        <f t="shared" si="41"/>
        <v>0</v>
      </c>
      <c r="G67" s="177"/>
      <c r="H67" s="1">
        <f t="shared" si="42"/>
        <v>0</v>
      </c>
      <c r="I67" s="177"/>
      <c r="J67" s="1">
        <f t="shared" si="43"/>
        <v>0</v>
      </c>
      <c r="K67" s="1"/>
      <c r="L67" s="1">
        <f t="shared" si="44"/>
        <v>0</v>
      </c>
      <c r="M67" s="1"/>
      <c r="N67" s="1">
        <f t="shared" si="45"/>
        <v>0</v>
      </c>
      <c r="O67" s="1"/>
      <c r="P67" s="174">
        <f t="shared" si="27"/>
        <v>0</v>
      </c>
      <c r="Q67" s="1">
        <f t="shared" si="4"/>
        <v>0</v>
      </c>
      <c r="R67" s="1">
        <f t="shared" si="0"/>
        <v>0</v>
      </c>
      <c r="S67" s="1">
        <f t="shared" si="1"/>
        <v>0</v>
      </c>
      <c r="T67" s="1">
        <f t="shared" si="5"/>
        <v>0</v>
      </c>
      <c r="U67" s="1">
        <f t="shared" si="2"/>
        <v>0</v>
      </c>
      <c r="V67" s="1">
        <f t="shared" si="13"/>
        <v>0</v>
      </c>
      <c r="W67" s="173">
        <f t="shared" si="6"/>
        <v>0</v>
      </c>
      <c r="X67" s="5">
        <f t="shared" si="34"/>
        <v>0</v>
      </c>
      <c r="Y67" s="1">
        <f t="shared" si="35"/>
        <v>0</v>
      </c>
      <c r="Z67" s="1">
        <f t="shared" si="36"/>
        <v>0</v>
      </c>
      <c r="AA67" s="174">
        <f t="shared" si="37"/>
        <v>0</v>
      </c>
      <c r="AB67" s="5">
        <f t="shared" si="38"/>
        <v>0</v>
      </c>
      <c r="AC67" s="175" t="e">
        <f t="shared" si="39"/>
        <v>#DIV/0!</v>
      </c>
    </row>
    <row r="68" spans="1:29" ht="30" x14ac:dyDescent="0.25">
      <c r="A68" s="172" t="str">
        <f>+'PRIORIZACIÓN (2)'!B70</f>
        <v>Unidad Auditable 58</v>
      </c>
      <c r="B68" s="180" t="str">
        <f>+IF('PRIORIZACIÓN (2)'!I70&gt;0%,"YA CUENTA CON PONDERACIÓN DE RIESGOS, NO DILIGENCIAR ANALISIS OCI", "DILIGENCIE ANALISIS OCI PARA ESTA UNIDAD AUDITABLE")</f>
        <v>DILIGENCIE ANALISIS OCI PARA ESTA UNIDAD AUDITABLE</v>
      </c>
      <c r="C68" s="176"/>
      <c r="D68" s="1">
        <f t="shared" si="40"/>
        <v>0</v>
      </c>
      <c r="E68" s="1"/>
      <c r="F68" s="1">
        <f t="shared" si="41"/>
        <v>0</v>
      </c>
      <c r="G68" s="177"/>
      <c r="H68" s="1">
        <f t="shared" si="42"/>
        <v>0</v>
      </c>
      <c r="I68" s="177"/>
      <c r="J68" s="1">
        <f t="shared" si="43"/>
        <v>0</v>
      </c>
      <c r="K68" s="1"/>
      <c r="L68" s="1">
        <f t="shared" si="44"/>
        <v>0</v>
      </c>
      <c r="M68" s="1"/>
      <c r="N68" s="1">
        <f t="shared" si="45"/>
        <v>0</v>
      </c>
      <c r="O68" s="1"/>
      <c r="P68" s="174">
        <f t="shared" si="27"/>
        <v>0</v>
      </c>
      <c r="Q68" s="1">
        <f t="shared" si="4"/>
        <v>0</v>
      </c>
      <c r="R68" s="1">
        <f t="shared" si="0"/>
        <v>0</v>
      </c>
      <c r="S68" s="1">
        <f t="shared" si="1"/>
        <v>0</v>
      </c>
      <c r="T68" s="1">
        <f t="shared" si="5"/>
        <v>0</v>
      </c>
      <c r="U68" s="1">
        <f t="shared" si="2"/>
        <v>0</v>
      </c>
      <c r="V68" s="1">
        <f t="shared" si="13"/>
        <v>0</v>
      </c>
      <c r="W68" s="173">
        <f t="shared" si="6"/>
        <v>0</v>
      </c>
      <c r="X68" s="5">
        <f t="shared" si="34"/>
        <v>0</v>
      </c>
      <c r="Y68" s="1">
        <f t="shared" si="35"/>
        <v>0</v>
      </c>
      <c r="Z68" s="1">
        <f t="shared" si="36"/>
        <v>0</v>
      </c>
      <c r="AA68" s="174">
        <f t="shared" si="37"/>
        <v>0</v>
      </c>
      <c r="AB68" s="5">
        <f t="shared" si="38"/>
        <v>0</v>
      </c>
      <c r="AC68" s="175" t="e">
        <f t="shared" si="39"/>
        <v>#DIV/0!</v>
      </c>
    </row>
    <row r="69" spans="1:29" ht="30" x14ac:dyDescent="0.25">
      <c r="A69" s="172" t="str">
        <f>+'PRIORIZACIÓN (2)'!B71</f>
        <v>Unidad Auditable 59</v>
      </c>
      <c r="B69" s="180" t="str">
        <f>+IF('PRIORIZACIÓN (2)'!I71&gt;0%,"YA CUENTA CON PONDERACIÓN DE RIESGOS, NO DILIGENCIAR ANALISIS OCI", "DILIGENCIE ANALISIS OCI PARA ESTA UNIDAD AUDITABLE")</f>
        <v>DILIGENCIE ANALISIS OCI PARA ESTA UNIDAD AUDITABLE</v>
      </c>
      <c r="C69" s="176"/>
      <c r="D69" s="1">
        <f t="shared" si="40"/>
        <v>0</v>
      </c>
      <c r="E69" s="1"/>
      <c r="F69" s="1">
        <f t="shared" si="41"/>
        <v>0</v>
      </c>
      <c r="G69" s="177"/>
      <c r="H69" s="1">
        <f t="shared" si="42"/>
        <v>0</v>
      </c>
      <c r="I69" s="177"/>
      <c r="J69" s="1">
        <f t="shared" si="43"/>
        <v>0</v>
      </c>
      <c r="K69" s="1"/>
      <c r="L69" s="1">
        <f t="shared" si="44"/>
        <v>0</v>
      </c>
      <c r="M69" s="1"/>
      <c r="N69" s="1">
        <f t="shared" si="45"/>
        <v>0</v>
      </c>
      <c r="O69" s="1"/>
      <c r="P69" s="174">
        <f t="shared" si="27"/>
        <v>0</v>
      </c>
      <c r="Q69" s="1">
        <f t="shared" si="4"/>
        <v>0</v>
      </c>
      <c r="R69" s="1">
        <f t="shared" si="0"/>
        <v>0</v>
      </c>
      <c r="S69" s="1">
        <f t="shared" si="1"/>
        <v>0</v>
      </c>
      <c r="T69" s="1">
        <f t="shared" si="5"/>
        <v>0</v>
      </c>
      <c r="U69" s="1">
        <f t="shared" si="2"/>
        <v>0</v>
      </c>
      <c r="V69" s="1">
        <f t="shared" si="13"/>
        <v>0</v>
      </c>
      <c r="W69" s="173">
        <f t="shared" si="6"/>
        <v>0</v>
      </c>
      <c r="X69" s="5">
        <f t="shared" si="34"/>
        <v>0</v>
      </c>
      <c r="Y69" s="1">
        <f t="shared" si="35"/>
        <v>0</v>
      </c>
      <c r="Z69" s="1">
        <f t="shared" si="36"/>
        <v>0</v>
      </c>
      <c r="AA69" s="174">
        <f t="shared" si="37"/>
        <v>0</v>
      </c>
      <c r="AB69" s="5">
        <f t="shared" si="38"/>
        <v>0</v>
      </c>
      <c r="AC69" s="175" t="e">
        <f t="shared" si="39"/>
        <v>#DIV/0!</v>
      </c>
    </row>
    <row r="70" spans="1:29" ht="30" x14ac:dyDescent="0.25">
      <c r="A70" s="172" t="str">
        <f>+'PRIORIZACIÓN (2)'!B72</f>
        <v>Unidad Auditable 60</v>
      </c>
      <c r="B70" s="180" t="str">
        <f>+IF('PRIORIZACIÓN (2)'!I72&gt;0%,"YA CUENTA CON PONDERACIÓN DE RIESGOS, NO DILIGENCIAR ANALISIS OCI", "DILIGENCIE ANALISIS OCI PARA ESTA UNIDAD AUDITABLE")</f>
        <v>DILIGENCIE ANALISIS OCI PARA ESTA UNIDAD AUDITABLE</v>
      </c>
      <c r="C70" s="176"/>
      <c r="D70" s="1">
        <f t="shared" si="40"/>
        <v>0</v>
      </c>
      <c r="E70" s="1"/>
      <c r="F70" s="1">
        <f t="shared" si="41"/>
        <v>0</v>
      </c>
      <c r="G70" s="177"/>
      <c r="H70" s="1">
        <f t="shared" si="42"/>
        <v>0</v>
      </c>
      <c r="I70" s="177"/>
      <c r="J70" s="1">
        <f t="shared" si="43"/>
        <v>0</v>
      </c>
      <c r="K70" s="1"/>
      <c r="L70" s="1">
        <f t="shared" si="44"/>
        <v>0</v>
      </c>
      <c r="M70" s="1"/>
      <c r="N70" s="1">
        <f t="shared" si="45"/>
        <v>0</v>
      </c>
      <c r="O70" s="1"/>
      <c r="P70" s="174">
        <f t="shared" si="27"/>
        <v>0</v>
      </c>
      <c r="Q70" s="1">
        <f t="shared" si="4"/>
        <v>0</v>
      </c>
      <c r="R70" s="1">
        <f t="shared" si="0"/>
        <v>0</v>
      </c>
      <c r="S70" s="1">
        <f t="shared" si="1"/>
        <v>0</v>
      </c>
      <c r="T70" s="1">
        <f t="shared" si="5"/>
        <v>0</v>
      </c>
      <c r="U70" s="1">
        <f t="shared" si="2"/>
        <v>0</v>
      </c>
      <c r="V70" s="1">
        <f t="shared" si="13"/>
        <v>0</v>
      </c>
      <c r="W70" s="173">
        <f t="shared" si="6"/>
        <v>0</v>
      </c>
      <c r="X70" s="5">
        <f t="shared" si="34"/>
        <v>0</v>
      </c>
      <c r="Y70" s="1">
        <f t="shared" si="35"/>
        <v>0</v>
      </c>
      <c r="Z70" s="1">
        <f t="shared" si="36"/>
        <v>0</v>
      </c>
      <c r="AA70" s="174">
        <f t="shared" si="37"/>
        <v>0</v>
      </c>
      <c r="AB70" s="5">
        <f t="shared" si="38"/>
        <v>0</v>
      </c>
      <c r="AC70" s="175" t="e">
        <f t="shared" si="39"/>
        <v>#DIV/0!</v>
      </c>
    </row>
    <row r="71" spans="1:29" ht="30" x14ac:dyDescent="0.25">
      <c r="A71" s="172" t="str">
        <f>+'PRIORIZACIÓN (2)'!B73</f>
        <v>Unidad Auditable 61</v>
      </c>
      <c r="B71" s="180" t="str">
        <f>+IF('PRIORIZACIÓN (2)'!I73&gt;0%,"YA CUENTA CON PONDERACIÓN DE RIESGOS, NO DILIGENCIAR ANALISIS OCI", "DILIGENCIE ANALISIS OCI PARA ESTA UNIDAD AUDITABLE")</f>
        <v>DILIGENCIE ANALISIS OCI PARA ESTA UNIDAD AUDITABLE</v>
      </c>
      <c r="C71" s="176"/>
      <c r="D71" s="1">
        <f t="shared" si="40"/>
        <v>0</v>
      </c>
      <c r="E71" s="1"/>
      <c r="F71" s="1">
        <f t="shared" si="41"/>
        <v>0</v>
      </c>
      <c r="G71" s="177"/>
      <c r="H71" s="1">
        <f t="shared" si="42"/>
        <v>0</v>
      </c>
      <c r="I71" s="177"/>
      <c r="J71" s="1">
        <f t="shared" si="43"/>
        <v>0</v>
      </c>
      <c r="K71" s="1"/>
      <c r="L71" s="1">
        <f t="shared" si="44"/>
        <v>0</v>
      </c>
      <c r="M71" s="1"/>
      <c r="N71" s="1">
        <f t="shared" si="45"/>
        <v>0</v>
      </c>
      <c r="O71" s="1"/>
      <c r="P71" s="174">
        <f t="shared" si="27"/>
        <v>0</v>
      </c>
      <c r="Q71" s="1">
        <f t="shared" si="4"/>
        <v>0</v>
      </c>
      <c r="R71" s="1">
        <f t="shared" si="0"/>
        <v>0</v>
      </c>
      <c r="S71" s="1">
        <f t="shared" si="1"/>
        <v>0</v>
      </c>
      <c r="T71" s="1">
        <f t="shared" si="5"/>
        <v>0</v>
      </c>
      <c r="U71" s="1">
        <f t="shared" si="2"/>
        <v>0</v>
      </c>
      <c r="V71" s="1">
        <f t="shared" si="13"/>
        <v>0</v>
      </c>
      <c r="W71" s="173">
        <f t="shared" si="6"/>
        <v>0</v>
      </c>
      <c r="X71" s="5">
        <f t="shared" si="34"/>
        <v>0</v>
      </c>
      <c r="Y71" s="1">
        <f t="shared" si="35"/>
        <v>0</v>
      </c>
      <c r="Z71" s="1">
        <f t="shared" si="36"/>
        <v>0</v>
      </c>
      <c r="AA71" s="174">
        <f t="shared" si="37"/>
        <v>0</v>
      </c>
      <c r="AB71" s="5">
        <f t="shared" si="38"/>
        <v>0</v>
      </c>
      <c r="AC71" s="175" t="e">
        <f t="shared" si="39"/>
        <v>#DIV/0!</v>
      </c>
    </row>
    <row r="72" spans="1:29" ht="30" x14ac:dyDescent="0.25">
      <c r="A72" s="172" t="str">
        <f>+'PRIORIZACIÓN (2)'!B74</f>
        <v>Unidad Auditable 62</v>
      </c>
      <c r="B72" s="180" t="str">
        <f>+IF('PRIORIZACIÓN (2)'!I74&gt;0%,"YA CUENTA CON PONDERACIÓN DE RIESGOS, NO DILIGENCIAR ANALISIS OCI", "DILIGENCIE ANALISIS OCI PARA ESTA UNIDAD AUDITABLE")</f>
        <v>DILIGENCIE ANALISIS OCI PARA ESTA UNIDAD AUDITABLE</v>
      </c>
      <c r="C72" s="176"/>
      <c r="D72" s="1">
        <f t="shared" si="40"/>
        <v>0</v>
      </c>
      <c r="E72" s="1"/>
      <c r="F72" s="1">
        <f t="shared" si="41"/>
        <v>0</v>
      </c>
      <c r="G72" s="177"/>
      <c r="H72" s="1">
        <f t="shared" si="42"/>
        <v>0</v>
      </c>
      <c r="I72" s="177"/>
      <c r="J72" s="1">
        <f t="shared" si="43"/>
        <v>0</v>
      </c>
      <c r="K72" s="1"/>
      <c r="L72" s="1">
        <f t="shared" si="44"/>
        <v>0</v>
      </c>
      <c r="M72" s="1"/>
      <c r="N72" s="1">
        <f t="shared" si="45"/>
        <v>0</v>
      </c>
      <c r="O72" s="1"/>
      <c r="P72" s="174">
        <f t="shared" si="27"/>
        <v>0</v>
      </c>
      <c r="Q72" s="1">
        <f t="shared" si="4"/>
        <v>0</v>
      </c>
      <c r="R72" s="1">
        <f t="shared" si="0"/>
        <v>0</v>
      </c>
      <c r="S72" s="1">
        <f t="shared" si="1"/>
        <v>0</v>
      </c>
      <c r="T72" s="1">
        <f t="shared" si="5"/>
        <v>0</v>
      </c>
      <c r="U72" s="1">
        <f t="shared" si="2"/>
        <v>0</v>
      </c>
      <c r="V72" s="1">
        <f t="shared" si="13"/>
        <v>0</v>
      </c>
      <c r="W72" s="173">
        <f t="shared" si="6"/>
        <v>0</v>
      </c>
      <c r="X72" s="5">
        <f t="shared" si="34"/>
        <v>0</v>
      </c>
      <c r="Y72" s="1">
        <f t="shared" si="35"/>
        <v>0</v>
      </c>
      <c r="Z72" s="1">
        <f t="shared" si="36"/>
        <v>0</v>
      </c>
      <c r="AA72" s="174">
        <f t="shared" si="37"/>
        <v>0</v>
      </c>
      <c r="AB72" s="5">
        <f t="shared" si="38"/>
        <v>0</v>
      </c>
      <c r="AC72" s="175" t="e">
        <f t="shared" si="39"/>
        <v>#DIV/0!</v>
      </c>
    </row>
    <row r="73" spans="1:29" ht="30" x14ac:dyDescent="0.25">
      <c r="A73" s="172" t="str">
        <f>+'PRIORIZACIÓN (2)'!B75</f>
        <v>Unidad Auditable 63</v>
      </c>
      <c r="B73" s="180" t="str">
        <f>+IF('PRIORIZACIÓN (2)'!I75&gt;0%,"YA CUENTA CON PONDERACIÓN DE RIESGOS, NO DILIGENCIAR ANALISIS OCI", "DILIGENCIE ANALISIS OCI PARA ESTA UNIDAD AUDITABLE")</f>
        <v>DILIGENCIE ANALISIS OCI PARA ESTA UNIDAD AUDITABLE</v>
      </c>
      <c r="C73" s="176"/>
      <c r="D73" s="1">
        <f t="shared" si="40"/>
        <v>0</v>
      </c>
      <c r="E73" s="1"/>
      <c r="F73" s="1">
        <f t="shared" si="41"/>
        <v>0</v>
      </c>
      <c r="G73" s="177"/>
      <c r="H73" s="1">
        <f t="shared" si="42"/>
        <v>0</v>
      </c>
      <c r="I73" s="177"/>
      <c r="J73" s="1">
        <f t="shared" si="43"/>
        <v>0</v>
      </c>
      <c r="K73" s="1"/>
      <c r="L73" s="1">
        <f t="shared" si="44"/>
        <v>0</v>
      </c>
      <c r="M73" s="1"/>
      <c r="N73" s="1">
        <f t="shared" si="45"/>
        <v>0</v>
      </c>
      <c r="O73" s="1"/>
      <c r="P73" s="174">
        <f t="shared" si="27"/>
        <v>0</v>
      </c>
      <c r="Q73" s="1">
        <f t="shared" si="4"/>
        <v>0</v>
      </c>
      <c r="R73" s="1">
        <f t="shared" ref="R73:R90" si="46">IF($E73="3 días","E",IF($E73="2 días","A",IF($E73="1 días","M",IF($E73="Varias horas","B",0))))</f>
        <v>0</v>
      </c>
      <c r="S73" s="1">
        <f t="shared" si="1"/>
        <v>0</v>
      </c>
      <c r="T73" s="1">
        <f t="shared" si="5"/>
        <v>0</v>
      </c>
      <c r="U73" s="1">
        <f t="shared" ref="U73:U90" si="47">IF($K73="Hechos de Corrupción","E",IF($K73="Incumplimiento de servicios","A",IF($K73="Retrasos en los servicios","M",IF($K73="Quejas por incumplimientos o retrasos","B",0))))</f>
        <v>0</v>
      </c>
      <c r="V73" s="1">
        <f t="shared" si="13"/>
        <v>0</v>
      </c>
      <c r="W73" s="173">
        <f t="shared" si="6"/>
        <v>0</v>
      </c>
      <c r="X73" s="5">
        <f t="shared" si="34"/>
        <v>0</v>
      </c>
      <c r="Y73" s="1">
        <f t="shared" si="35"/>
        <v>0</v>
      </c>
      <c r="Z73" s="1">
        <f t="shared" si="36"/>
        <v>0</v>
      </c>
      <c r="AA73" s="174">
        <f t="shared" si="37"/>
        <v>0</v>
      </c>
      <c r="AB73" s="5">
        <f t="shared" si="38"/>
        <v>0</v>
      </c>
      <c r="AC73" s="175" t="e">
        <f t="shared" si="39"/>
        <v>#DIV/0!</v>
      </c>
    </row>
    <row r="74" spans="1:29" ht="30" x14ac:dyDescent="0.25">
      <c r="A74" s="172" t="str">
        <f>+'PRIORIZACIÓN (2)'!B76</f>
        <v>Unidad Auditable 64</v>
      </c>
      <c r="B74" s="180" t="str">
        <f>+IF('PRIORIZACIÓN (2)'!I76&gt;0%,"YA CUENTA CON PONDERACIÓN DE RIESGOS, NO DILIGENCIAR ANALISIS OCI", "DILIGENCIE ANALISIS OCI PARA ESTA UNIDAD AUDITABLE")</f>
        <v>DILIGENCIE ANALISIS OCI PARA ESTA UNIDAD AUDITABLE</v>
      </c>
      <c r="C74" s="176"/>
      <c r="D74" s="1">
        <f t="shared" ref="D74:D90" si="48">IF($C74="EXTREMA","E",IF($C74="ALTA","A",IF($C74="MEDIA","M",IF($C74="BAJA","B",0))))</f>
        <v>0</v>
      </c>
      <c r="E74" s="1"/>
      <c r="F74" s="1">
        <f t="shared" si="41"/>
        <v>0</v>
      </c>
      <c r="G74" s="177"/>
      <c r="H74" s="1">
        <f t="shared" ref="H74:H90" si="49">IF($G74="EXTREMA","E",IF($G74="ALTA","A",IF($G74="MEDIA","M",IF($G74="BAJA","B",0))))</f>
        <v>0</v>
      </c>
      <c r="I74" s="177"/>
      <c r="J74" s="1">
        <f t="shared" ref="J74:J90" si="50">IF($I74="EXTREMA","E",IF($I74="ALTA","A",IF($I74="MEDIA","M",IF($I74="BAJA","B",0))))</f>
        <v>0</v>
      </c>
      <c r="K74" s="1"/>
      <c r="L74" s="1">
        <f t="shared" si="44"/>
        <v>0</v>
      </c>
      <c r="M74" s="1"/>
      <c r="N74" s="1">
        <f t="shared" ref="N74:N90" si="51">IF($M74="EXTREMA","E",IF($M74="ALTA","A",IF($M74="MEDIA","M",IF($M74="BAJA","B",0))))</f>
        <v>0</v>
      </c>
      <c r="O74" s="1"/>
      <c r="P74" s="174">
        <f t="shared" si="27"/>
        <v>0</v>
      </c>
      <c r="Q74" s="1">
        <f t="shared" ref="Q74:Q90" si="52">IF($C74="EXTREMA","E",IF($C74="ALTA","A",IF($C74="MEDIA","M",IF($C74="BAJA","B",0))))</f>
        <v>0</v>
      </c>
      <c r="R74" s="1">
        <f t="shared" si="46"/>
        <v>0</v>
      </c>
      <c r="S74" s="1">
        <f t="shared" ref="S74:S90" si="53">IF($G74="EXTREMA","E",IF($G74="ALTA","A",IF($G74="MEDIA","M",IF($G74="BAJA","B",0))))</f>
        <v>0</v>
      </c>
      <c r="T74" s="1">
        <f t="shared" ref="T74:T90" si="54">IF($I74="EXTREMA","E",IF($I74="ALTA","A",IF($I74="MEDIA","M",IF($I74="BAJA","B",0))))</f>
        <v>0</v>
      </c>
      <c r="U74" s="1">
        <f t="shared" si="47"/>
        <v>0</v>
      </c>
      <c r="V74" s="1">
        <f t="shared" ref="V74:V90" si="55">IF($M74="EXTREMA","E",IF($M74="ALTA","A",IF($M74="MEDIA","M",IF($M74="BAJA","B",0))))</f>
        <v>0</v>
      </c>
      <c r="W74" s="173">
        <f t="shared" ref="W74:W90" si="56">IF($O74="Critica no recuperable","E",IF($O74="Critica con recuperación parcial","A",IF($O74="Falta de oportunidad para atención usuarios","M",IF($O74="Falta de oportunidad para gestión de los procesos","B",0))))</f>
        <v>0</v>
      </c>
      <c r="X74" s="5">
        <f t="shared" si="34"/>
        <v>0</v>
      </c>
      <c r="Y74" s="1">
        <f t="shared" si="35"/>
        <v>0</v>
      </c>
      <c r="Z74" s="1">
        <f t="shared" si="36"/>
        <v>0</v>
      </c>
      <c r="AA74" s="174">
        <f t="shared" si="37"/>
        <v>0</v>
      </c>
      <c r="AB74" s="5">
        <f t="shared" si="38"/>
        <v>0</v>
      </c>
      <c r="AC74" s="175" t="e">
        <f t="shared" si="39"/>
        <v>#DIV/0!</v>
      </c>
    </row>
    <row r="75" spans="1:29" ht="30" x14ac:dyDescent="0.25">
      <c r="A75" s="172" t="str">
        <f>+'PRIORIZACIÓN (2)'!B77</f>
        <v>Unidad Auditable 65</v>
      </c>
      <c r="B75" s="180" t="str">
        <f>+IF('PRIORIZACIÓN (2)'!I77&gt;0%,"YA CUENTA CON PONDERACIÓN DE RIESGOS, NO DILIGENCIAR ANALISIS OCI", "DILIGENCIE ANALISIS OCI PARA ESTA UNIDAD AUDITABLE")</f>
        <v>DILIGENCIE ANALISIS OCI PARA ESTA UNIDAD AUDITABLE</v>
      </c>
      <c r="C75" s="176"/>
      <c r="D75" s="1">
        <f t="shared" si="48"/>
        <v>0</v>
      </c>
      <c r="E75" s="1"/>
      <c r="F75" s="1">
        <f t="shared" si="41"/>
        <v>0</v>
      </c>
      <c r="G75" s="177"/>
      <c r="H75" s="1">
        <f t="shared" si="49"/>
        <v>0</v>
      </c>
      <c r="I75" s="177"/>
      <c r="J75" s="1">
        <f t="shared" si="50"/>
        <v>0</v>
      </c>
      <c r="K75" s="1"/>
      <c r="L75" s="1">
        <f t="shared" si="44"/>
        <v>0</v>
      </c>
      <c r="M75" s="1"/>
      <c r="N75" s="1">
        <f t="shared" si="51"/>
        <v>0</v>
      </c>
      <c r="O75" s="1"/>
      <c r="P75" s="174">
        <f t="shared" si="27"/>
        <v>0</v>
      </c>
      <c r="Q75" s="1">
        <f t="shared" si="52"/>
        <v>0</v>
      </c>
      <c r="R75" s="1">
        <f t="shared" si="46"/>
        <v>0</v>
      </c>
      <c r="S75" s="1">
        <f t="shared" si="53"/>
        <v>0</v>
      </c>
      <c r="T75" s="1">
        <f t="shared" si="54"/>
        <v>0</v>
      </c>
      <c r="U75" s="1">
        <f t="shared" si="47"/>
        <v>0</v>
      </c>
      <c r="V75" s="1">
        <f t="shared" si="55"/>
        <v>0</v>
      </c>
      <c r="W75" s="173">
        <f t="shared" si="56"/>
        <v>0</v>
      </c>
      <c r="X75" s="5">
        <f t="shared" si="34"/>
        <v>0</v>
      </c>
      <c r="Y75" s="1">
        <f t="shared" si="35"/>
        <v>0</v>
      </c>
      <c r="Z75" s="1">
        <f t="shared" si="36"/>
        <v>0</v>
      </c>
      <c r="AA75" s="174">
        <f t="shared" si="37"/>
        <v>0</v>
      </c>
      <c r="AB75" s="5">
        <f t="shared" si="38"/>
        <v>0</v>
      </c>
      <c r="AC75" s="175" t="e">
        <f t="shared" si="39"/>
        <v>#DIV/0!</v>
      </c>
    </row>
    <row r="76" spans="1:29" ht="30" x14ac:dyDescent="0.25">
      <c r="A76" s="172" t="str">
        <f>+'PRIORIZACIÓN (2)'!B78</f>
        <v>Unidad Auditable 66</v>
      </c>
      <c r="B76" s="180" t="str">
        <f>+IF('PRIORIZACIÓN (2)'!I78&gt;0%,"YA CUENTA CON PONDERACIÓN DE RIESGOS, NO DILIGENCIAR ANALISIS OCI", "DILIGENCIE ANALISIS OCI PARA ESTA UNIDAD AUDITABLE")</f>
        <v>DILIGENCIE ANALISIS OCI PARA ESTA UNIDAD AUDITABLE</v>
      </c>
      <c r="C76" s="176"/>
      <c r="D76" s="1">
        <f t="shared" si="48"/>
        <v>0</v>
      </c>
      <c r="E76" s="1"/>
      <c r="F76" s="1">
        <f t="shared" si="41"/>
        <v>0</v>
      </c>
      <c r="G76" s="177"/>
      <c r="H76" s="1">
        <f t="shared" si="49"/>
        <v>0</v>
      </c>
      <c r="I76" s="177"/>
      <c r="J76" s="1">
        <f t="shared" si="50"/>
        <v>0</v>
      </c>
      <c r="K76" s="1"/>
      <c r="L76" s="1">
        <f t="shared" si="44"/>
        <v>0</v>
      </c>
      <c r="M76" s="1"/>
      <c r="N76" s="1">
        <f t="shared" si="51"/>
        <v>0</v>
      </c>
      <c r="O76" s="1"/>
      <c r="P76" s="174">
        <f t="shared" si="27"/>
        <v>0</v>
      </c>
      <c r="Q76" s="1">
        <f t="shared" si="52"/>
        <v>0</v>
      </c>
      <c r="R76" s="1">
        <f t="shared" si="46"/>
        <v>0</v>
      </c>
      <c r="S76" s="1">
        <f t="shared" si="53"/>
        <v>0</v>
      </c>
      <c r="T76" s="1">
        <f t="shared" si="54"/>
        <v>0</v>
      </c>
      <c r="U76" s="1">
        <f t="shared" si="47"/>
        <v>0</v>
      </c>
      <c r="V76" s="1">
        <f t="shared" si="55"/>
        <v>0</v>
      </c>
      <c r="W76" s="173">
        <f t="shared" si="56"/>
        <v>0</v>
      </c>
      <c r="X76" s="5">
        <f t="shared" si="34"/>
        <v>0</v>
      </c>
      <c r="Y76" s="1">
        <f t="shared" si="35"/>
        <v>0</v>
      </c>
      <c r="Z76" s="1">
        <f t="shared" si="36"/>
        <v>0</v>
      </c>
      <c r="AA76" s="174">
        <f t="shared" si="37"/>
        <v>0</v>
      </c>
      <c r="AB76" s="5">
        <f t="shared" si="38"/>
        <v>0</v>
      </c>
      <c r="AC76" s="175" t="e">
        <f t="shared" si="39"/>
        <v>#DIV/0!</v>
      </c>
    </row>
    <row r="77" spans="1:29" ht="30" x14ac:dyDescent="0.25">
      <c r="A77" s="172" t="str">
        <f>+'PRIORIZACIÓN (2)'!B79</f>
        <v>Unidad Auditable 67</v>
      </c>
      <c r="B77" s="180" t="str">
        <f>+IF('PRIORIZACIÓN (2)'!I79&gt;0%,"YA CUENTA CON PONDERACIÓN DE RIESGOS, NO DILIGENCIAR ANALISIS OCI", "DILIGENCIE ANALISIS OCI PARA ESTA UNIDAD AUDITABLE")</f>
        <v>DILIGENCIE ANALISIS OCI PARA ESTA UNIDAD AUDITABLE</v>
      </c>
      <c r="C77" s="176"/>
      <c r="D77" s="1">
        <f t="shared" si="48"/>
        <v>0</v>
      </c>
      <c r="E77" s="1"/>
      <c r="F77" s="1">
        <f t="shared" si="41"/>
        <v>0</v>
      </c>
      <c r="G77" s="177"/>
      <c r="H77" s="1">
        <f t="shared" si="49"/>
        <v>0</v>
      </c>
      <c r="I77" s="177"/>
      <c r="J77" s="1">
        <f t="shared" si="50"/>
        <v>0</v>
      </c>
      <c r="K77" s="1"/>
      <c r="L77" s="1">
        <f t="shared" si="44"/>
        <v>0</v>
      </c>
      <c r="M77" s="1"/>
      <c r="N77" s="1">
        <f t="shared" si="51"/>
        <v>0</v>
      </c>
      <c r="O77" s="1"/>
      <c r="P77" s="174">
        <f t="shared" si="27"/>
        <v>0</v>
      </c>
      <c r="Q77" s="1">
        <f t="shared" si="52"/>
        <v>0</v>
      </c>
      <c r="R77" s="1">
        <f t="shared" si="46"/>
        <v>0</v>
      </c>
      <c r="S77" s="1">
        <f t="shared" si="53"/>
        <v>0</v>
      </c>
      <c r="T77" s="1">
        <f t="shared" si="54"/>
        <v>0</v>
      </c>
      <c r="U77" s="1">
        <f t="shared" si="47"/>
        <v>0</v>
      </c>
      <c r="V77" s="1">
        <f t="shared" si="55"/>
        <v>0</v>
      </c>
      <c r="W77" s="173">
        <f t="shared" si="56"/>
        <v>0</v>
      </c>
      <c r="X77" s="5">
        <f t="shared" si="34"/>
        <v>0</v>
      </c>
      <c r="Y77" s="1">
        <f t="shared" si="35"/>
        <v>0</v>
      </c>
      <c r="Z77" s="1">
        <f t="shared" si="36"/>
        <v>0</v>
      </c>
      <c r="AA77" s="174">
        <f t="shared" si="37"/>
        <v>0</v>
      </c>
      <c r="AB77" s="5">
        <f t="shared" si="38"/>
        <v>0</v>
      </c>
      <c r="AC77" s="175" t="e">
        <f t="shared" si="39"/>
        <v>#DIV/0!</v>
      </c>
    </row>
    <row r="78" spans="1:29" ht="30" x14ac:dyDescent="0.25">
      <c r="A78" s="172" t="str">
        <f>+'PRIORIZACIÓN (2)'!B80</f>
        <v>Unidad Auditable 68</v>
      </c>
      <c r="B78" s="180" t="str">
        <f>+IF('PRIORIZACIÓN (2)'!I80&gt;0%,"YA CUENTA CON PONDERACIÓN DE RIESGOS, NO DILIGENCIAR ANALISIS OCI", "DILIGENCIE ANALISIS OCI PARA ESTA UNIDAD AUDITABLE")</f>
        <v>DILIGENCIE ANALISIS OCI PARA ESTA UNIDAD AUDITABLE</v>
      </c>
      <c r="C78" s="176"/>
      <c r="D78" s="1">
        <f t="shared" si="48"/>
        <v>0</v>
      </c>
      <c r="E78" s="1"/>
      <c r="F78" s="1">
        <f t="shared" si="41"/>
        <v>0</v>
      </c>
      <c r="G78" s="177"/>
      <c r="H78" s="1">
        <f t="shared" si="49"/>
        <v>0</v>
      </c>
      <c r="I78" s="177"/>
      <c r="J78" s="1">
        <f t="shared" si="50"/>
        <v>0</v>
      </c>
      <c r="K78" s="1"/>
      <c r="L78" s="1">
        <f t="shared" si="44"/>
        <v>0</v>
      </c>
      <c r="M78" s="1"/>
      <c r="N78" s="1">
        <f t="shared" si="51"/>
        <v>0</v>
      </c>
      <c r="O78" s="1"/>
      <c r="P78" s="174">
        <f t="shared" si="27"/>
        <v>0</v>
      </c>
      <c r="Q78" s="1">
        <f t="shared" si="52"/>
        <v>0</v>
      </c>
      <c r="R78" s="1">
        <f t="shared" si="46"/>
        <v>0</v>
      </c>
      <c r="S78" s="1">
        <f t="shared" si="53"/>
        <v>0</v>
      </c>
      <c r="T78" s="1">
        <f t="shared" si="54"/>
        <v>0</v>
      </c>
      <c r="U78" s="1">
        <f t="shared" si="47"/>
        <v>0</v>
      </c>
      <c r="V78" s="1">
        <f t="shared" si="55"/>
        <v>0</v>
      </c>
      <c r="W78" s="173">
        <f t="shared" si="56"/>
        <v>0</v>
      </c>
      <c r="X78" s="5">
        <f t="shared" si="34"/>
        <v>0</v>
      </c>
      <c r="Y78" s="1">
        <f t="shared" si="35"/>
        <v>0</v>
      </c>
      <c r="Z78" s="1">
        <f t="shared" si="36"/>
        <v>0</v>
      </c>
      <c r="AA78" s="174">
        <f t="shared" si="37"/>
        <v>0</v>
      </c>
      <c r="AB78" s="5">
        <f t="shared" si="38"/>
        <v>0</v>
      </c>
      <c r="AC78" s="175" t="e">
        <f t="shared" si="39"/>
        <v>#DIV/0!</v>
      </c>
    </row>
    <row r="79" spans="1:29" ht="30" x14ac:dyDescent="0.25">
      <c r="A79" s="172" t="str">
        <f>+'PRIORIZACIÓN (2)'!B81</f>
        <v>Unidad Auditable 69</v>
      </c>
      <c r="B79" s="180" t="str">
        <f>+IF('PRIORIZACIÓN (2)'!I81&gt;0%,"YA CUENTA CON PONDERACIÓN DE RIESGOS, NO DILIGENCIAR ANALISIS OCI", "DILIGENCIE ANALISIS OCI PARA ESTA UNIDAD AUDITABLE")</f>
        <v>DILIGENCIE ANALISIS OCI PARA ESTA UNIDAD AUDITABLE</v>
      </c>
      <c r="C79" s="176"/>
      <c r="D79" s="1">
        <f t="shared" si="48"/>
        <v>0</v>
      </c>
      <c r="E79" s="1"/>
      <c r="F79" s="1">
        <f t="shared" si="41"/>
        <v>0</v>
      </c>
      <c r="G79" s="177"/>
      <c r="H79" s="1">
        <f t="shared" si="49"/>
        <v>0</v>
      </c>
      <c r="I79" s="177"/>
      <c r="J79" s="1">
        <f t="shared" si="50"/>
        <v>0</v>
      </c>
      <c r="K79" s="1"/>
      <c r="L79" s="1">
        <f t="shared" si="44"/>
        <v>0</v>
      </c>
      <c r="M79" s="1"/>
      <c r="N79" s="1">
        <f t="shared" si="51"/>
        <v>0</v>
      </c>
      <c r="O79" s="1"/>
      <c r="P79" s="174">
        <f t="shared" si="27"/>
        <v>0</v>
      </c>
      <c r="Q79" s="1">
        <f t="shared" si="52"/>
        <v>0</v>
      </c>
      <c r="R79" s="1">
        <f t="shared" si="46"/>
        <v>0</v>
      </c>
      <c r="S79" s="1">
        <f t="shared" si="53"/>
        <v>0</v>
      </c>
      <c r="T79" s="1">
        <f t="shared" si="54"/>
        <v>0</v>
      </c>
      <c r="U79" s="1">
        <f t="shared" si="47"/>
        <v>0</v>
      </c>
      <c r="V79" s="1">
        <f t="shared" si="55"/>
        <v>0</v>
      </c>
      <c r="W79" s="173">
        <f t="shared" si="56"/>
        <v>0</v>
      </c>
      <c r="X79" s="5">
        <f t="shared" si="34"/>
        <v>0</v>
      </c>
      <c r="Y79" s="1">
        <f t="shared" si="35"/>
        <v>0</v>
      </c>
      <c r="Z79" s="1">
        <f t="shared" si="36"/>
        <v>0</v>
      </c>
      <c r="AA79" s="174">
        <f t="shared" si="37"/>
        <v>0</v>
      </c>
      <c r="AB79" s="5">
        <f t="shared" si="38"/>
        <v>0</v>
      </c>
      <c r="AC79" s="175" t="e">
        <f t="shared" si="39"/>
        <v>#DIV/0!</v>
      </c>
    </row>
    <row r="80" spans="1:29" ht="30" x14ac:dyDescent="0.25">
      <c r="A80" s="172" t="str">
        <f>+'PRIORIZACIÓN (2)'!B82</f>
        <v>Unidad Auditable 70</v>
      </c>
      <c r="B80" s="180" t="str">
        <f>+IF('PRIORIZACIÓN (2)'!I82&gt;0%,"YA CUENTA CON PONDERACIÓN DE RIESGOS, NO DILIGENCIAR ANALISIS OCI", "DILIGENCIE ANALISIS OCI PARA ESTA UNIDAD AUDITABLE")</f>
        <v>DILIGENCIE ANALISIS OCI PARA ESTA UNIDAD AUDITABLE</v>
      </c>
      <c r="C80" s="176"/>
      <c r="D80" s="1">
        <f t="shared" si="48"/>
        <v>0</v>
      </c>
      <c r="E80" s="1"/>
      <c r="F80" s="1">
        <f t="shared" si="41"/>
        <v>0</v>
      </c>
      <c r="G80" s="177"/>
      <c r="H80" s="1">
        <f t="shared" si="49"/>
        <v>0</v>
      </c>
      <c r="I80" s="177"/>
      <c r="J80" s="1">
        <f t="shared" si="50"/>
        <v>0</v>
      </c>
      <c r="K80" s="1"/>
      <c r="L80" s="1">
        <f t="shared" si="44"/>
        <v>0</v>
      </c>
      <c r="M80" s="1"/>
      <c r="N80" s="1">
        <f t="shared" si="51"/>
        <v>0</v>
      </c>
      <c r="O80" s="1"/>
      <c r="P80" s="174">
        <f t="shared" si="27"/>
        <v>0</v>
      </c>
      <c r="Q80" s="1">
        <f t="shared" si="52"/>
        <v>0</v>
      </c>
      <c r="R80" s="1">
        <f t="shared" si="46"/>
        <v>0</v>
      </c>
      <c r="S80" s="1">
        <f t="shared" si="53"/>
        <v>0</v>
      </c>
      <c r="T80" s="1">
        <f t="shared" si="54"/>
        <v>0</v>
      </c>
      <c r="U80" s="1">
        <f t="shared" si="47"/>
        <v>0</v>
      </c>
      <c r="V80" s="1">
        <f t="shared" si="55"/>
        <v>0</v>
      </c>
      <c r="W80" s="173">
        <f t="shared" si="56"/>
        <v>0</v>
      </c>
      <c r="X80" s="5">
        <f t="shared" si="34"/>
        <v>0</v>
      </c>
      <c r="Y80" s="1">
        <f t="shared" si="35"/>
        <v>0</v>
      </c>
      <c r="Z80" s="1">
        <f t="shared" si="36"/>
        <v>0</v>
      </c>
      <c r="AA80" s="174">
        <f t="shared" si="37"/>
        <v>0</v>
      </c>
      <c r="AB80" s="5">
        <f t="shared" si="38"/>
        <v>0</v>
      </c>
      <c r="AC80" s="175" t="e">
        <f t="shared" si="39"/>
        <v>#DIV/0!</v>
      </c>
    </row>
    <row r="81" spans="1:29" ht="30" x14ac:dyDescent="0.25">
      <c r="A81" s="172" t="str">
        <f>+'PRIORIZACIÓN (2)'!B83</f>
        <v>Unidad Auditable 71</v>
      </c>
      <c r="B81" s="180" t="str">
        <f>+IF('PRIORIZACIÓN (2)'!I83&gt;0%,"YA CUENTA CON PONDERACIÓN DE RIESGOS, NO DILIGENCIAR ANALISIS OCI", "DILIGENCIE ANALISIS OCI PARA ESTA UNIDAD AUDITABLE")</f>
        <v>DILIGENCIE ANALISIS OCI PARA ESTA UNIDAD AUDITABLE</v>
      </c>
      <c r="C81" s="176"/>
      <c r="D81" s="1">
        <f t="shared" si="48"/>
        <v>0</v>
      </c>
      <c r="E81" s="1"/>
      <c r="F81" s="1">
        <f t="shared" si="41"/>
        <v>0</v>
      </c>
      <c r="G81" s="177"/>
      <c r="H81" s="1">
        <f t="shared" si="49"/>
        <v>0</v>
      </c>
      <c r="I81" s="177"/>
      <c r="J81" s="1">
        <f t="shared" si="50"/>
        <v>0</v>
      </c>
      <c r="K81" s="1"/>
      <c r="L81" s="1">
        <f t="shared" si="44"/>
        <v>0</v>
      </c>
      <c r="M81" s="1"/>
      <c r="N81" s="1">
        <f t="shared" si="51"/>
        <v>0</v>
      </c>
      <c r="O81" s="1"/>
      <c r="P81" s="174">
        <f t="shared" si="27"/>
        <v>0</v>
      </c>
      <c r="Q81" s="1">
        <f t="shared" si="52"/>
        <v>0</v>
      </c>
      <c r="R81" s="1">
        <f t="shared" si="46"/>
        <v>0</v>
      </c>
      <c r="S81" s="1">
        <f t="shared" si="53"/>
        <v>0</v>
      </c>
      <c r="T81" s="1">
        <f t="shared" si="54"/>
        <v>0</v>
      </c>
      <c r="U81" s="1">
        <f t="shared" si="47"/>
        <v>0</v>
      </c>
      <c r="V81" s="1">
        <f t="shared" si="55"/>
        <v>0</v>
      </c>
      <c r="W81" s="173">
        <f t="shared" si="56"/>
        <v>0</v>
      </c>
      <c r="X81" s="5">
        <f t="shared" si="34"/>
        <v>0</v>
      </c>
      <c r="Y81" s="1">
        <f t="shared" si="35"/>
        <v>0</v>
      </c>
      <c r="Z81" s="1">
        <f t="shared" si="36"/>
        <v>0</v>
      </c>
      <c r="AA81" s="174">
        <f t="shared" si="37"/>
        <v>0</v>
      </c>
      <c r="AB81" s="5">
        <f t="shared" si="38"/>
        <v>0</v>
      </c>
      <c r="AC81" s="175" t="e">
        <f t="shared" si="39"/>
        <v>#DIV/0!</v>
      </c>
    </row>
    <row r="82" spans="1:29" ht="30" x14ac:dyDescent="0.25">
      <c r="A82" s="172" t="str">
        <f>+'PRIORIZACIÓN (2)'!B84</f>
        <v>Unidad Auditable 72</v>
      </c>
      <c r="B82" s="180" t="str">
        <f>+IF('PRIORIZACIÓN (2)'!I84&gt;0%,"YA CUENTA CON PONDERACIÓN DE RIESGOS, NO DILIGENCIAR ANALISIS OCI", "DILIGENCIE ANALISIS OCI PARA ESTA UNIDAD AUDITABLE")</f>
        <v>DILIGENCIE ANALISIS OCI PARA ESTA UNIDAD AUDITABLE</v>
      </c>
      <c r="C82" s="176"/>
      <c r="D82" s="1">
        <f t="shared" si="48"/>
        <v>0</v>
      </c>
      <c r="E82" s="1"/>
      <c r="F82" s="1">
        <f t="shared" si="41"/>
        <v>0</v>
      </c>
      <c r="G82" s="177"/>
      <c r="H82" s="1">
        <f t="shared" si="49"/>
        <v>0</v>
      </c>
      <c r="I82" s="177"/>
      <c r="J82" s="1">
        <f t="shared" si="50"/>
        <v>0</v>
      </c>
      <c r="K82" s="1"/>
      <c r="L82" s="1">
        <f t="shared" si="44"/>
        <v>0</v>
      </c>
      <c r="M82" s="1"/>
      <c r="N82" s="1">
        <f t="shared" si="51"/>
        <v>0</v>
      </c>
      <c r="O82" s="1"/>
      <c r="P82" s="174">
        <f t="shared" si="27"/>
        <v>0</v>
      </c>
      <c r="Q82" s="1">
        <f t="shared" si="52"/>
        <v>0</v>
      </c>
      <c r="R82" s="1">
        <f t="shared" si="46"/>
        <v>0</v>
      </c>
      <c r="S82" s="1">
        <f t="shared" si="53"/>
        <v>0</v>
      </c>
      <c r="T82" s="1">
        <f t="shared" si="54"/>
        <v>0</v>
      </c>
      <c r="U82" s="1">
        <f t="shared" si="47"/>
        <v>0</v>
      </c>
      <c r="V82" s="1">
        <f t="shared" si="55"/>
        <v>0</v>
      </c>
      <c r="W82" s="173">
        <f t="shared" si="56"/>
        <v>0</v>
      </c>
      <c r="X82" s="5">
        <f t="shared" si="34"/>
        <v>0</v>
      </c>
      <c r="Y82" s="1">
        <f t="shared" si="35"/>
        <v>0</v>
      </c>
      <c r="Z82" s="1">
        <f t="shared" si="36"/>
        <v>0</v>
      </c>
      <c r="AA82" s="174">
        <f t="shared" si="37"/>
        <v>0</v>
      </c>
      <c r="AB82" s="5">
        <f t="shared" si="38"/>
        <v>0</v>
      </c>
      <c r="AC82" s="175" t="e">
        <f t="shared" si="39"/>
        <v>#DIV/0!</v>
      </c>
    </row>
    <row r="83" spans="1:29" ht="30" x14ac:dyDescent="0.25">
      <c r="A83" s="172" t="str">
        <f>+'PRIORIZACIÓN (2)'!B85</f>
        <v>Unidad Auditable 73</v>
      </c>
      <c r="B83" s="180" t="str">
        <f>+IF('PRIORIZACIÓN (2)'!I85&gt;0%,"YA CUENTA CON PONDERACIÓN DE RIESGOS, NO DILIGENCIAR ANALISIS OCI", "DILIGENCIE ANALISIS OCI PARA ESTA UNIDAD AUDITABLE")</f>
        <v>DILIGENCIE ANALISIS OCI PARA ESTA UNIDAD AUDITABLE</v>
      </c>
      <c r="C83" s="176"/>
      <c r="D83" s="1">
        <f t="shared" si="48"/>
        <v>0</v>
      </c>
      <c r="E83" s="1"/>
      <c r="F83" s="1">
        <f t="shared" si="41"/>
        <v>0</v>
      </c>
      <c r="G83" s="177"/>
      <c r="H83" s="1">
        <f t="shared" si="49"/>
        <v>0</v>
      </c>
      <c r="I83" s="177"/>
      <c r="J83" s="1">
        <f t="shared" si="50"/>
        <v>0</v>
      </c>
      <c r="K83" s="1"/>
      <c r="L83" s="1">
        <f t="shared" si="44"/>
        <v>0</v>
      </c>
      <c r="M83" s="1"/>
      <c r="N83" s="1">
        <f t="shared" si="51"/>
        <v>0</v>
      </c>
      <c r="O83" s="1"/>
      <c r="P83" s="174">
        <f t="shared" si="27"/>
        <v>0</v>
      </c>
      <c r="Q83" s="1">
        <f t="shared" si="52"/>
        <v>0</v>
      </c>
      <c r="R83" s="1">
        <f t="shared" si="46"/>
        <v>0</v>
      </c>
      <c r="S83" s="1">
        <f t="shared" si="53"/>
        <v>0</v>
      </c>
      <c r="T83" s="1">
        <f t="shared" si="54"/>
        <v>0</v>
      </c>
      <c r="U83" s="1">
        <f t="shared" si="47"/>
        <v>0</v>
      </c>
      <c r="V83" s="1">
        <f t="shared" si="55"/>
        <v>0</v>
      </c>
      <c r="W83" s="173">
        <f t="shared" si="56"/>
        <v>0</v>
      </c>
      <c r="X83" s="5">
        <f t="shared" si="34"/>
        <v>0</v>
      </c>
      <c r="Y83" s="1">
        <f t="shared" si="35"/>
        <v>0</v>
      </c>
      <c r="Z83" s="1">
        <f t="shared" si="36"/>
        <v>0</v>
      </c>
      <c r="AA83" s="174">
        <f t="shared" si="37"/>
        <v>0</v>
      </c>
      <c r="AB83" s="5">
        <f t="shared" si="38"/>
        <v>0</v>
      </c>
      <c r="AC83" s="175" t="e">
        <f t="shared" si="39"/>
        <v>#DIV/0!</v>
      </c>
    </row>
    <row r="84" spans="1:29" ht="30" x14ac:dyDescent="0.25">
      <c r="A84" s="172" t="str">
        <f>+'PRIORIZACIÓN (2)'!B86</f>
        <v>Unidad Auditable 74</v>
      </c>
      <c r="B84" s="180" t="str">
        <f>+IF('PRIORIZACIÓN (2)'!I86&gt;0%,"YA CUENTA CON PONDERACIÓN DE RIESGOS, NO DILIGENCIAR ANALISIS OCI", "DILIGENCIE ANALISIS OCI PARA ESTA UNIDAD AUDITABLE")</f>
        <v>DILIGENCIE ANALISIS OCI PARA ESTA UNIDAD AUDITABLE</v>
      </c>
      <c r="C84" s="176"/>
      <c r="D84" s="1">
        <f t="shared" si="48"/>
        <v>0</v>
      </c>
      <c r="E84" s="1"/>
      <c r="F84" s="1">
        <f t="shared" si="41"/>
        <v>0</v>
      </c>
      <c r="G84" s="177"/>
      <c r="H84" s="1">
        <f t="shared" si="49"/>
        <v>0</v>
      </c>
      <c r="I84" s="177"/>
      <c r="J84" s="1">
        <f t="shared" si="50"/>
        <v>0</v>
      </c>
      <c r="K84" s="1"/>
      <c r="L84" s="1">
        <f t="shared" si="44"/>
        <v>0</v>
      </c>
      <c r="M84" s="1"/>
      <c r="N84" s="1">
        <f t="shared" si="51"/>
        <v>0</v>
      </c>
      <c r="O84" s="1"/>
      <c r="P84" s="174">
        <f t="shared" si="27"/>
        <v>0</v>
      </c>
      <c r="Q84" s="1">
        <f t="shared" si="52"/>
        <v>0</v>
      </c>
      <c r="R84" s="1">
        <f t="shared" si="46"/>
        <v>0</v>
      </c>
      <c r="S84" s="1">
        <f t="shared" si="53"/>
        <v>0</v>
      </c>
      <c r="T84" s="1">
        <f t="shared" si="54"/>
        <v>0</v>
      </c>
      <c r="U84" s="1">
        <f t="shared" si="47"/>
        <v>0</v>
      </c>
      <c r="V84" s="1">
        <f t="shared" si="55"/>
        <v>0</v>
      </c>
      <c r="W84" s="173">
        <f t="shared" si="56"/>
        <v>0</v>
      </c>
      <c r="X84" s="5">
        <f t="shared" si="34"/>
        <v>0</v>
      </c>
      <c r="Y84" s="1">
        <f t="shared" si="35"/>
        <v>0</v>
      </c>
      <c r="Z84" s="1">
        <f t="shared" si="36"/>
        <v>0</v>
      </c>
      <c r="AA84" s="174">
        <f t="shared" si="37"/>
        <v>0</v>
      </c>
      <c r="AB84" s="5">
        <f t="shared" si="38"/>
        <v>0</v>
      </c>
      <c r="AC84" s="175" t="e">
        <f t="shared" si="39"/>
        <v>#DIV/0!</v>
      </c>
    </row>
    <row r="85" spans="1:29" ht="30" x14ac:dyDescent="0.25">
      <c r="A85" s="172" t="str">
        <f>+'PRIORIZACIÓN (2)'!B87</f>
        <v>Unidad Auditable 75</v>
      </c>
      <c r="B85" s="180" t="str">
        <f>+IF('PRIORIZACIÓN (2)'!I87&gt;0%,"YA CUENTA CON PONDERACIÓN DE RIESGOS, NO DILIGENCIAR ANALISIS OCI", "DILIGENCIE ANALISIS OCI PARA ESTA UNIDAD AUDITABLE")</f>
        <v>DILIGENCIE ANALISIS OCI PARA ESTA UNIDAD AUDITABLE</v>
      </c>
      <c r="C85" s="176"/>
      <c r="D85" s="1">
        <f t="shared" si="48"/>
        <v>0</v>
      </c>
      <c r="E85" s="1"/>
      <c r="F85" s="1">
        <f t="shared" si="41"/>
        <v>0</v>
      </c>
      <c r="G85" s="177"/>
      <c r="H85" s="1">
        <f t="shared" si="49"/>
        <v>0</v>
      </c>
      <c r="I85" s="177"/>
      <c r="J85" s="1">
        <f t="shared" si="50"/>
        <v>0</v>
      </c>
      <c r="K85" s="1"/>
      <c r="L85" s="1">
        <f t="shared" si="44"/>
        <v>0</v>
      </c>
      <c r="M85" s="1"/>
      <c r="N85" s="1">
        <f t="shared" si="51"/>
        <v>0</v>
      </c>
      <c r="O85" s="1"/>
      <c r="P85" s="174">
        <f t="shared" si="27"/>
        <v>0</v>
      </c>
      <c r="Q85" s="1">
        <f t="shared" si="52"/>
        <v>0</v>
      </c>
      <c r="R85" s="1">
        <f t="shared" si="46"/>
        <v>0</v>
      </c>
      <c r="S85" s="1">
        <f t="shared" si="53"/>
        <v>0</v>
      </c>
      <c r="T85" s="1">
        <f t="shared" si="54"/>
        <v>0</v>
      </c>
      <c r="U85" s="1">
        <f t="shared" si="47"/>
        <v>0</v>
      </c>
      <c r="V85" s="1">
        <f t="shared" si="55"/>
        <v>0</v>
      </c>
      <c r="W85" s="173">
        <f t="shared" si="56"/>
        <v>0</v>
      </c>
      <c r="X85" s="5">
        <f t="shared" si="34"/>
        <v>0</v>
      </c>
      <c r="Y85" s="1">
        <f t="shared" si="35"/>
        <v>0</v>
      </c>
      <c r="Z85" s="1">
        <f t="shared" si="36"/>
        <v>0</v>
      </c>
      <c r="AA85" s="174">
        <f t="shared" si="37"/>
        <v>0</v>
      </c>
      <c r="AB85" s="5">
        <f t="shared" si="38"/>
        <v>0</v>
      </c>
      <c r="AC85" s="175" t="e">
        <f t="shared" si="39"/>
        <v>#DIV/0!</v>
      </c>
    </row>
    <row r="86" spans="1:29" ht="30" x14ac:dyDescent="0.25">
      <c r="A86" s="172" t="str">
        <f>+'PRIORIZACIÓN (2)'!B88</f>
        <v>Unidad Auditable 76</v>
      </c>
      <c r="B86" s="180" t="str">
        <f>+IF('PRIORIZACIÓN (2)'!I88&gt;0%,"YA CUENTA CON PONDERACIÓN DE RIESGOS, NO DILIGENCIAR ANALISIS OCI", "DILIGENCIE ANALISIS OCI PARA ESTA UNIDAD AUDITABLE")</f>
        <v>DILIGENCIE ANALISIS OCI PARA ESTA UNIDAD AUDITABLE</v>
      </c>
      <c r="C86" s="176"/>
      <c r="D86" s="1">
        <f t="shared" si="48"/>
        <v>0</v>
      </c>
      <c r="E86" s="1"/>
      <c r="F86" s="1">
        <f t="shared" si="41"/>
        <v>0</v>
      </c>
      <c r="G86" s="177"/>
      <c r="H86" s="1">
        <f t="shared" si="49"/>
        <v>0</v>
      </c>
      <c r="I86" s="177"/>
      <c r="J86" s="1">
        <f t="shared" si="50"/>
        <v>0</v>
      </c>
      <c r="K86" s="1"/>
      <c r="L86" s="1">
        <f t="shared" si="44"/>
        <v>0</v>
      </c>
      <c r="M86" s="1"/>
      <c r="N86" s="1">
        <f t="shared" si="51"/>
        <v>0</v>
      </c>
      <c r="O86" s="1"/>
      <c r="P86" s="174">
        <f t="shared" si="27"/>
        <v>0</v>
      </c>
      <c r="Q86" s="1">
        <f t="shared" si="52"/>
        <v>0</v>
      </c>
      <c r="R86" s="1">
        <f t="shared" si="46"/>
        <v>0</v>
      </c>
      <c r="S86" s="1">
        <f t="shared" si="53"/>
        <v>0</v>
      </c>
      <c r="T86" s="1">
        <f t="shared" si="54"/>
        <v>0</v>
      </c>
      <c r="U86" s="1">
        <f t="shared" si="47"/>
        <v>0</v>
      </c>
      <c r="V86" s="1">
        <f t="shared" si="55"/>
        <v>0</v>
      </c>
      <c r="W86" s="173">
        <f t="shared" si="56"/>
        <v>0</v>
      </c>
      <c r="X86" s="5">
        <f t="shared" si="34"/>
        <v>0</v>
      </c>
      <c r="Y86" s="1">
        <f t="shared" si="35"/>
        <v>0</v>
      </c>
      <c r="Z86" s="1">
        <f t="shared" si="36"/>
        <v>0</v>
      </c>
      <c r="AA86" s="174">
        <f t="shared" si="37"/>
        <v>0</v>
      </c>
      <c r="AB86" s="5">
        <f t="shared" si="38"/>
        <v>0</v>
      </c>
      <c r="AC86" s="175" t="e">
        <f t="shared" si="39"/>
        <v>#DIV/0!</v>
      </c>
    </row>
    <row r="87" spans="1:29" ht="30" x14ac:dyDescent="0.25">
      <c r="A87" s="172" t="str">
        <f>+'PRIORIZACIÓN (2)'!B89</f>
        <v>Unidad Auditable 77</v>
      </c>
      <c r="B87" s="180" t="str">
        <f>+IF('PRIORIZACIÓN (2)'!I89&gt;0%,"YA CUENTA CON PONDERACIÓN DE RIESGOS, NO DILIGENCIAR ANALISIS OCI", "DILIGENCIE ANALISIS OCI PARA ESTA UNIDAD AUDITABLE")</f>
        <v>DILIGENCIE ANALISIS OCI PARA ESTA UNIDAD AUDITABLE</v>
      </c>
      <c r="C87" s="176"/>
      <c r="D87" s="1">
        <f t="shared" si="48"/>
        <v>0</v>
      </c>
      <c r="E87" s="1"/>
      <c r="F87" s="1">
        <f t="shared" si="41"/>
        <v>0</v>
      </c>
      <c r="G87" s="177"/>
      <c r="H87" s="1">
        <f t="shared" si="49"/>
        <v>0</v>
      </c>
      <c r="I87" s="177"/>
      <c r="J87" s="1">
        <f t="shared" si="50"/>
        <v>0</v>
      </c>
      <c r="K87" s="1"/>
      <c r="L87" s="1">
        <f t="shared" si="44"/>
        <v>0</v>
      </c>
      <c r="M87" s="1"/>
      <c r="N87" s="1">
        <f t="shared" si="51"/>
        <v>0</v>
      </c>
      <c r="O87" s="1"/>
      <c r="P87" s="174">
        <f t="shared" si="27"/>
        <v>0</v>
      </c>
      <c r="Q87" s="1">
        <f t="shared" si="52"/>
        <v>0</v>
      </c>
      <c r="R87" s="1">
        <f t="shared" si="46"/>
        <v>0</v>
      </c>
      <c r="S87" s="1">
        <f t="shared" si="53"/>
        <v>0</v>
      </c>
      <c r="T87" s="1">
        <f t="shared" si="54"/>
        <v>0</v>
      </c>
      <c r="U87" s="1">
        <f t="shared" si="47"/>
        <v>0</v>
      </c>
      <c r="V87" s="1">
        <f t="shared" si="55"/>
        <v>0</v>
      </c>
      <c r="W87" s="173">
        <f t="shared" si="56"/>
        <v>0</v>
      </c>
      <c r="X87" s="5">
        <f t="shared" si="34"/>
        <v>0</v>
      </c>
      <c r="Y87" s="1">
        <f t="shared" si="35"/>
        <v>0</v>
      </c>
      <c r="Z87" s="1">
        <f t="shared" si="36"/>
        <v>0</v>
      </c>
      <c r="AA87" s="174">
        <f t="shared" si="37"/>
        <v>0</v>
      </c>
      <c r="AB87" s="5">
        <f t="shared" si="38"/>
        <v>0</v>
      </c>
      <c r="AC87" s="175" t="e">
        <f t="shared" si="39"/>
        <v>#DIV/0!</v>
      </c>
    </row>
    <row r="88" spans="1:29" ht="30" x14ac:dyDescent="0.25">
      <c r="A88" s="172" t="str">
        <f>+'PRIORIZACIÓN (2)'!B90</f>
        <v>Unidad Auditable 78</v>
      </c>
      <c r="B88" s="180" t="str">
        <f>+IF('PRIORIZACIÓN (2)'!I90&gt;0%,"YA CUENTA CON PONDERACIÓN DE RIESGOS, NO DILIGENCIAR ANALISIS OCI", "DILIGENCIE ANALISIS OCI PARA ESTA UNIDAD AUDITABLE")</f>
        <v>DILIGENCIE ANALISIS OCI PARA ESTA UNIDAD AUDITABLE</v>
      </c>
      <c r="C88" s="176"/>
      <c r="D88" s="1">
        <f t="shared" si="48"/>
        <v>0</v>
      </c>
      <c r="E88" s="1"/>
      <c r="F88" s="1">
        <f t="shared" si="41"/>
        <v>0</v>
      </c>
      <c r="G88" s="177"/>
      <c r="H88" s="1">
        <f t="shared" si="49"/>
        <v>0</v>
      </c>
      <c r="I88" s="177"/>
      <c r="J88" s="1">
        <f t="shared" si="50"/>
        <v>0</v>
      </c>
      <c r="K88" s="1"/>
      <c r="L88" s="1">
        <f t="shared" si="44"/>
        <v>0</v>
      </c>
      <c r="M88" s="1"/>
      <c r="N88" s="1">
        <f t="shared" si="51"/>
        <v>0</v>
      </c>
      <c r="O88" s="1"/>
      <c r="P88" s="174">
        <f t="shared" si="27"/>
        <v>0</v>
      </c>
      <c r="Q88" s="1">
        <f t="shared" si="52"/>
        <v>0</v>
      </c>
      <c r="R88" s="1">
        <f t="shared" si="46"/>
        <v>0</v>
      </c>
      <c r="S88" s="1">
        <f t="shared" si="53"/>
        <v>0</v>
      </c>
      <c r="T88" s="1">
        <f t="shared" si="54"/>
        <v>0</v>
      </c>
      <c r="U88" s="1">
        <f t="shared" si="47"/>
        <v>0</v>
      </c>
      <c r="V88" s="1">
        <f t="shared" si="55"/>
        <v>0</v>
      </c>
      <c r="W88" s="173">
        <f t="shared" si="56"/>
        <v>0</v>
      </c>
      <c r="X88" s="5">
        <f t="shared" si="34"/>
        <v>0</v>
      </c>
      <c r="Y88" s="1">
        <f t="shared" si="35"/>
        <v>0</v>
      </c>
      <c r="Z88" s="1">
        <f t="shared" si="36"/>
        <v>0</v>
      </c>
      <c r="AA88" s="174">
        <f t="shared" si="37"/>
        <v>0</v>
      </c>
      <c r="AB88" s="5">
        <f t="shared" si="38"/>
        <v>0</v>
      </c>
      <c r="AC88" s="175" t="e">
        <f t="shared" si="39"/>
        <v>#DIV/0!</v>
      </c>
    </row>
    <row r="89" spans="1:29" ht="30" x14ac:dyDescent="0.25">
      <c r="A89" s="172" t="str">
        <f>+'PRIORIZACIÓN (2)'!B91</f>
        <v>Unidad Auditable 79</v>
      </c>
      <c r="B89" s="180" t="str">
        <f>+IF('PRIORIZACIÓN (2)'!I91&gt;0%,"YA CUENTA CON PONDERACIÓN DE RIESGOS, NO DILIGENCIAR ANALISIS OCI", "DILIGENCIE ANALISIS OCI PARA ESTA UNIDAD AUDITABLE")</f>
        <v>DILIGENCIE ANALISIS OCI PARA ESTA UNIDAD AUDITABLE</v>
      </c>
      <c r="C89" s="176"/>
      <c r="D89" s="1">
        <f t="shared" si="48"/>
        <v>0</v>
      </c>
      <c r="E89" s="1"/>
      <c r="F89" s="1">
        <f t="shared" si="41"/>
        <v>0</v>
      </c>
      <c r="G89" s="177"/>
      <c r="H89" s="1">
        <f t="shared" si="49"/>
        <v>0</v>
      </c>
      <c r="I89" s="177"/>
      <c r="J89" s="1">
        <f t="shared" si="50"/>
        <v>0</v>
      </c>
      <c r="K89" s="1"/>
      <c r="L89" s="1">
        <f t="shared" si="44"/>
        <v>0</v>
      </c>
      <c r="M89" s="1"/>
      <c r="N89" s="1">
        <f t="shared" si="51"/>
        <v>0</v>
      </c>
      <c r="O89" s="1"/>
      <c r="P89" s="174">
        <f t="shared" si="27"/>
        <v>0</v>
      </c>
      <c r="Q89" s="1">
        <f t="shared" si="52"/>
        <v>0</v>
      </c>
      <c r="R89" s="1">
        <f t="shared" si="46"/>
        <v>0</v>
      </c>
      <c r="S89" s="1">
        <f t="shared" si="53"/>
        <v>0</v>
      </c>
      <c r="T89" s="1">
        <f t="shared" si="54"/>
        <v>0</v>
      </c>
      <c r="U89" s="1">
        <f t="shared" si="47"/>
        <v>0</v>
      </c>
      <c r="V89" s="1">
        <f t="shared" si="55"/>
        <v>0</v>
      </c>
      <c r="W89" s="173">
        <f t="shared" si="56"/>
        <v>0</v>
      </c>
      <c r="X89" s="5">
        <f t="shared" ref="X89:X90" si="57">COUNTIFS(Q89:W89,"E")</f>
        <v>0</v>
      </c>
      <c r="Y89" s="1">
        <f t="shared" ref="Y89:Y90" si="58">COUNTIF(Q89:W89,"A")</f>
        <v>0</v>
      </c>
      <c r="Z89" s="1">
        <f t="shared" ref="Z89:Z90" si="59">COUNTIF(Q89:W89,"M")</f>
        <v>0</v>
      </c>
      <c r="AA89" s="174">
        <f t="shared" ref="AA89:AA90" si="60">COUNTIF(Q89:W89,"B")</f>
        <v>0</v>
      </c>
      <c r="AB89" s="5">
        <f t="shared" ref="AB89:AB90" si="61">SUM(X89:AA89)</f>
        <v>0</v>
      </c>
      <c r="AC89" s="175" t="e">
        <f t="shared" ref="AC89:AC90" si="62">+IF((X89/AB89)&gt;=0.2,"Extremo",+IF(((X89/AB89)+(Y89/AB89))&gt;=0.3,"Alto",+IF(((X89/AB89)+(Y89/AB89)+(Z89/AB89))&gt;=0.4,"Moderado",+IF((X89/AB89)+(Y89/AB89)+(Z89/AB89)+(AA89/AB89)&gt;=0.5,"Bajo",""))))</f>
        <v>#DIV/0!</v>
      </c>
    </row>
    <row r="90" spans="1:29" ht="30" x14ac:dyDescent="0.25">
      <c r="A90" s="172" t="str">
        <f>+'PRIORIZACIÓN (2)'!B92</f>
        <v>Unidad Auditable 80</v>
      </c>
      <c r="B90" s="180" t="str">
        <f>+IF('PRIORIZACIÓN (2)'!I92&gt;0%,"YA CUENTA CON PONDERACIÓN DE RIESGOS, NO DILIGENCIAR ANALISIS OCI", "DILIGENCIE ANALISIS OCI PARA ESTA UNIDAD AUDITABLE")</f>
        <v>DILIGENCIE ANALISIS OCI PARA ESTA UNIDAD AUDITABLE</v>
      </c>
      <c r="C90" s="176"/>
      <c r="D90" s="1">
        <f t="shared" si="48"/>
        <v>0</v>
      </c>
      <c r="E90" s="1"/>
      <c r="F90" s="1">
        <f t="shared" si="41"/>
        <v>0</v>
      </c>
      <c r="G90" s="177"/>
      <c r="H90" s="1">
        <f t="shared" si="49"/>
        <v>0</v>
      </c>
      <c r="I90" s="177"/>
      <c r="J90" s="1">
        <f t="shared" si="50"/>
        <v>0</v>
      </c>
      <c r="K90" s="1"/>
      <c r="L90" s="1">
        <f t="shared" si="44"/>
        <v>0</v>
      </c>
      <c r="M90" s="1"/>
      <c r="N90" s="1">
        <f t="shared" si="51"/>
        <v>0</v>
      </c>
      <c r="O90" s="1"/>
      <c r="P90" s="174">
        <f t="shared" si="27"/>
        <v>0</v>
      </c>
      <c r="Q90" s="1">
        <f t="shared" si="52"/>
        <v>0</v>
      </c>
      <c r="R90" s="1">
        <f t="shared" si="46"/>
        <v>0</v>
      </c>
      <c r="S90" s="1">
        <f t="shared" si="53"/>
        <v>0</v>
      </c>
      <c r="T90" s="1">
        <f t="shared" si="54"/>
        <v>0</v>
      </c>
      <c r="U90" s="1">
        <f t="shared" si="47"/>
        <v>0</v>
      </c>
      <c r="V90" s="1">
        <f t="shared" si="55"/>
        <v>0</v>
      </c>
      <c r="W90" s="173">
        <f t="shared" si="56"/>
        <v>0</v>
      </c>
      <c r="X90" s="5">
        <f t="shared" si="57"/>
        <v>0</v>
      </c>
      <c r="Y90" s="1">
        <f t="shared" si="58"/>
        <v>0</v>
      </c>
      <c r="Z90" s="1">
        <f t="shared" si="59"/>
        <v>0</v>
      </c>
      <c r="AA90" s="174">
        <f t="shared" si="60"/>
        <v>0</v>
      </c>
      <c r="AB90" s="5">
        <f t="shared" si="61"/>
        <v>0</v>
      </c>
      <c r="AC90" s="175" t="e">
        <f t="shared" si="62"/>
        <v>#DIV/0!</v>
      </c>
    </row>
    <row r="96" spans="1:29" x14ac:dyDescent="0.25">
      <c r="A96" s="181" t="s">
        <v>334</v>
      </c>
      <c r="B96" s="182" t="s">
        <v>335</v>
      </c>
      <c r="C96" s="182" t="s">
        <v>336</v>
      </c>
    </row>
    <row r="97" spans="1:3" x14ac:dyDescent="0.25">
      <c r="A97" s="1" t="s">
        <v>343</v>
      </c>
      <c r="B97" s="183">
        <v>0</v>
      </c>
      <c r="C97" s="184" t="s">
        <v>337</v>
      </c>
    </row>
    <row r="98" spans="1:3" x14ac:dyDescent="0.25">
      <c r="A98" s="1" t="s">
        <v>344</v>
      </c>
      <c r="B98" s="184" t="s">
        <v>338</v>
      </c>
      <c r="C98" s="184" t="s">
        <v>339</v>
      </c>
    </row>
    <row r="99" spans="1:3" x14ac:dyDescent="0.25">
      <c r="A99" s="1" t="s">
        <v>345</v>
      </c>
      <c r="B99" s="184" t="s">
        <v>340</v>
      </c>
      <c r="C99" s="184" t="s">
        <v>341</v>
      </c>
    </row>
    <row r="100" spans="1:3" x14ac:dyDescent="0.25">
      <c r="A100" s="1" t="s">
        <v>346</v>
      </c>
      <c r="B100" s="184" t="s">
        <v>342</v>
      </c>
      <c r="C100" s="185"/>
    </row>
  </sheetData>
  <mergeCells count="36">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 ref="R7:R8"/>
    <mergeCell ref="S7:S8"/>
    <mergeCell ref="T7:T8"/>
    <mergeCell ref="U7:U8"/>
    <mergeCell ref="A7:A8"/>
    <mergeCell ref="C7:D7"/>
    <mergeCell ref="E7:F7"/>
    <mergeCell ref="G7:H7"/>
    <mergeCell ref="I7:J7"/>
    <mergeCell ref="K7:L7"/>
    <mergeCell ref="M7:N7"/>
    <mergeCell ref="O7:P7"/>
    <mergeCell ref="B7:B8"/>
    <mergeCell ref="A2:A5"/>
    <mergeCell ref="AA2:AC5"/>
    <mergeCell ref="Q2:Z2"/>
    <mergeCell ref="Q3:Z3"/>
    <mergeCell ref="Q4:Z4"/>
    <mergeCell ref="Q5:Z5"/>
    <mergeCell ref="B2:O5"/>
  </mergeCells>
  <conditionalFormatting sqref="AC9">
    <cfRule type="containsText" dxfId="126" priority="124" operator="containsText" text="Moderado">
      <formula>NOT(ISERROR(SEARCH(("Moderado"),(AC9))))</formula>
    </cfRule>
  </conditionalFormatting>
  <conditionalFormatting sqref="AC9">
    <cfRule type="containsText" dxfId="125" priority="125" operator="containsText" text="Alto">
      <formula>NOT(ISERROR(SEARCH(("Alto"),(AC9))))</formula>
    </cfRule>
  </conditionalFormatting>
  <conditionalFormatting sqref="AC9">
    <cfRule type="containsText" dxfId="124" priority="126" operator="containsText" text="Muy Alto">
      <formula>NOT(ISERROR(SEARCH(("Muy Alto"),(AC9))))</formula>
    </cfRule>
  </conditionalFormatting>
  <conditionalFormatting sqref="AC9">
    <cfRule type="containsText" dxfId="123" priority="127" operator="containsText" text="Muy Bajo">
      <formula>NOT(ISERROR(SEARCH(("Muy Bajo"),(AC9))))</formula>
    </cfRule>
  </conditionalFormatting>
  <conditionalFormatting sqref="AC9">
    <cfRule type="containsText" dxfId="122" priority="128" operator="containsText" text="Bajo">
      <formula>NOT(ISERROR(SEARCH(("Bajo"),(AC9))))</formula>
    </cfRule>
  </conditionalFormatting>
  <conditionalFormatting sqref="AC9">
    <cfRule type="containsText" dxfId="121" priority="129" operator="containsText" text="Extremo">
      <formula>NOT(ISERROR(SEARCH(("Extremo"),(AC9))))</formula>
    </cfRule>
  </conditionalFormatting>
  <conditionalFormatting sqref="AC36:AC90">
    <cfRule type="containsText" dxfId="120" priority="118" operator="containsText" text="Moderado">
      <formula>NOT(ISERROR(SEARCH(("Moderado"),(AC36))))</formula>
    </cfRule>
  </conditionalFormatting>
  <conditionalFormatting sqref="AC36:AC90">
    <cfRule type="containsText" dxfId="119" priority="119" operator="containsText" text="Alto">
      <formula>NOT(ISERROR(SEARCH(("Alto"),(AC36))))</formula>
    </cfRule>
  </conditionalFormatting>
  <conditionalFormatting sqref="AC36:AC90">
    <cfRule type="containsText" dxfId="118" priority="120" operator="containsText" text="Muy Alto">
      <formula>NOT(ISERROR(SEARCH(("Muy Alto"),(AC36))))</formula>
    </cfRule>
  </conditionalFormatting>
  <conditionalFormatting sqref="AC36:AC90">
    <cfRule type="containsText" dxfId="117" priority="121" operator="containsText" text="Muy Bajo">
      <formula>NOT(ISERROR(SEARCH(("Muy Bajo"),(AC36))))</formula>
    </cfRule>
  </conditionalFormatting>
  <conditionalFormatting sqref="AC36:AC90">
    <cfRule type="containsText" dxfId="116" priority="122" operator="containsText" text="Bajo">
      <formula>NOT(ISERROR(SEARCH(("Bajo"),(AC36))))</formula>
    </cfRule>
  </conditionalFormatting>
  <conditionalFormatting sqref="AC36:AC90">
    <cfRule type="containsText" dxfId="115" priority="123" operator="containsText" text="Extremo">
      <formula>NOT(ISERROR(SEARCH(("Extremo"),(AC36))))</formula>
    </cfRule>
  </conditionalFormatting>
  <conditionalFormatting sqref="AC18:AC23 AC34:AC35">
    <cfRule type="containsText" dxfId="114" priority="112" operator="containsText" text="Moderado">
      <formula>NOT(ISERROR(SEARCH(("Moderado"),(AC18))))</formula>
    </cfRule>
  </conditionalFormatting>
  <conditionalFormatting sqref="AC18:AC23 AC34:AC35">
    <cfRule type="containsText" dxfId="113" priority="113" operator="containsText" text="Alto">
      <formula>NOT(ISERROR(SEARCH(("Alto"),(AC18))))</formula>
    </cfRule>
  </conditionalFormatting>
  <conditionalFormatting sqref="AC18:AC23 AC34:AC35">
    <cfRule type="containsText" dxfId="112" priority="114" operator="containsText" text="Muy Alto">
      <formula>NOT(ISERROR(SEARCH(("Muy Alto"),(AC18))))</formula>
    </cfRule>
  </conditionalFormatting>
  <conditionalFormatting sqref="AC18:AC23 AC34:AC35">
    <cfRule type="containsText" dxfId="111" priority="115" operator="containsText" text="Muy Bajo">
      <formula>NOT(ISERROR(SEARCH(("Muy Bajo"),(AC18))))</formula>
    </cfRule>
  </conditionalFormatting>
  <conditionalFormatting sqref="AC18:AC23 AC34:AC35">
    <cfRule type="containsText" dxfId="110" priority="116" operator="containsText" text="Bajo">
      <formula>NOT(ISERROR(SEARCH(("Bajo"),(AC18))))</formula>
    </cfRule>
  </conditionalFormatting>
  <conditionalFormatting sqref="AC18:AC23 AC34:AC35">
    <cfRule type="containsText" dxfId="109" priority="117" operator="containsText" text="Extremo">
      <formula>NOT(ISERROR(SEARCH(("Extremo"),(AC18))))</formula>
    </cfRule>
  </conditionalFormatting>
  <conditionalFormatting sqref="AC10:AC17">
    <cfRule type="containsText" dxfId="108" priority="106" operator="containsText" text="Moderado">
      <formula>NOT(ISERROR(SEARCH(("Moderado"),(AC10))))</formula>
    </cfRule>
  </conditionalFormatting>
  <conditionalFormatting sqref="AC10:AC17">
    <cfRule type="containsText" dxfId="107" priority="107" operator="containsText" text="Alto">
      <formula>NOT(ISERROR(SEARCH(("Alto"),(AC10))))</formula>
    </cfRule>
  </conditionalFormatting>
  <conditionalFormatting sqref="AC10:AC17">
    <cfRule type="containsText" dxfId="106" priority="108" operator="containsText" text="Muy Alto">
      <formula>NOT(ISERROR(SEARCH(("Muy Alto"),(AC10))))</formula>
    </cfRule>
  </conditionalFormatting>
  <conditionalFormatting sqref="AC10:AC17">
    <cfRule type="containsText" dxfId="105" priority="109" operator="containsText" text="Muy Bajo">
      <formula>NOT(ISERROR(SEARCH(("Muy Bajo"),(AC10))))</formula>
    </cfRule>
  </conditionalFormatting>
  <conditionalFormatting sqref="AC10:AC17">
    <cfRule type="containsText" dxfId="104" priority="110" operator="containsText" text="Bajo">
      <formula>NOT(ISERROR(SEARCH(("Bajo"),(AC10))))</formula>
    </cfRule>
  </conditionalFormatting>
  <conditionalFormatting sqref="AC10:AC17">
    <cfRule type="containsText" dxfId="103" priority="111" operator="containsText" text="Extremo">
      <formula>NOT(ISERROR(SEARCH(("Extremo"),(AC10))))</formula>
    </cfRule>
  </conditionalFormatting>
  <conditionalFormatting sqref="AC26:AC33">
    <cfRule type="containsText" dxfId="102" priority="100" operator="containsText" text="Moderado">
      <formula>NOT(ISERROR(SEARCH(("Moderado"),(AC26))))</formula>
    </cfRule>
  </conditionalFormatting>
  <conditionalFormatting sqref="AC26:AC33">
    <cfRule type="containsText" dxfId="101" priority="101" operator="containsText" text="Alto">
      <formula>NOT(ISERROR(SEARCH(("Alto"),(AC26))))</formula>
    </cfRule>
  </conditionalFormatting>
  <conditionalFormatting sqref="AC26:AC33">
    <cfRule type="containsText" dxfId="100" priority="102" operator="containsText" text="Muy Alto">
      <formula>NOT(ISERROR(SEARCH(("Muy Alto"),(AC26))))</formula>
    </cfRule>
  </conditionalFormatting>
  <conditionalFormatting sqref="AC26:AC33">
    <cfRule type="containsText" dxfId="99" priority="103" operator="containsText" text="Muy Bajo">
      <formula>NOT(ISERROR(SEARCH(("Muy Bajo"),(AC26))))</formula>
    </cfRule>
  </conditionalFormatting>
  <conditionalFormatting sqref="AC26:AC33">
    <cfRule type="containsText" dxfId="98" priority="104" operator="containsText" text="Bajo">
      <formula>NOT(ISERROR(SEARCH(("Bajo"),(AC26))))</formula>
    </cfRule>
  </conditionalFormatting>
  <conditionalFormatting sqref="AC26:AC33">
    <cfRule type="containsText" dxfId="97" priority="105" operator="containsText" text="Extremo">
      <formula>NOT(ISERROR(SEARCH(("Extremo"),(AC26))))</formula>
    </cfRule>
  </conditionalFormatting>
  <conditionalFormatting sqref="AC24:AC25">
    <cfRule type="containsText" dxfId="96" priority="94" operator="containsText" text="Moderado">
      <formula>NOT(ISERROR(SEARCH(("Moderado"),(AC24))))</formula>
    </cfRule>
  </conditionalFormatting>
  <conditionalFormatting sqref="AC24:AC25">
    <cfRule type="containsText" dxfId="95" priority="95" operator="containsText" text="Alto">
      <formula>NOT(ISERROR(SEARCH(("Alto"),(AC24))))</formula>
    </cfRule>
  </conditionalFormatting>
  <conditionalFormatting sqref="AC24:AC25">
    <cfRule type="containsText" dxfId="94" priority="96" operator="containsText" text="Muy Alto">
      <formula>NOT(ISERROR(SEARCH(("Muy Alto"),(AC24))))</formula>
    </cfRule>
  </conditionalFormatting>
  <conditionalFormatting sqref="AC24:AC25">
    <cfRule type="containsText" dxfId="93" priority="97" operator="containsText" text="Muy Bajo">
      <formula>NOT(ISERROR(SEARCH(("Muy Bajo"),(AC24))))</formula>
    </cfRule>
  </conditionalFormatting>
  <conditionalFormatting sqref="AC24:AC25">
    <cfRule type="containsText" dxfId="92" priority="98" operator="containsText" text="Bajo">
      <formula>NOT(ISERROR(SEARCH(("Bajo"),(AC24))))</formula>
    </cfRule>
  </conditionalFormatting>
  <conditionalFormatting sqref="AC24:AC25">
    <cfRule type="containsText" dxfId="91" priority="99" operator="containsText" text="Extremo">
      <formula>NOT(ISERROR(SEARCH(("Extremo"),(AC24))))</formula>
    </cfRule>
  </conditionalFormatting>
  <conditionalFormatting sqref="C15:O15 C9:O12 C53:O90">
    <cfRule type="expression" dxfId="90" priority="91">
      <formula>"(B9=""YA CUENTA CON PONDERACION DE RIESGOS, NO DILIGENCIARANALISIS;B9)"</formula>
    </cfRule>
  </conditionalFormatting>
  <conditionalFormatting sqref="B9:B90">
    <cfRule type="cellIs" dxfId="89" priority="85" operator="equal">
      <formula>$AI$10</formula>
    </cfRule>
    <cfRule type="cellIs" dxfId="88" priority="88" operator="equal">
      <formula>$AI$9</formula>
    </cfRule>
  </conditionalFormatting>
  <conditionalFormatting sqref="Q9">
    <cfRule type="expression" dxfId="87" priority="84">
      <formula>"(B9=""YA CUENTA CON PONDERACION DE RIESGOS, NO DILIGENCIARANALISIS;B9)"</formula>
    </cfRule>
  </conditionalFormatting>
  <conditionalFormatting sqref="R9">
    <cfRule type="expression" dxfId="86" priority="83">
      <formula>"(B9=""YA CUENTA CON PONDERACION DE RIESGOS, NO DILIGENCIARANALISIS;B9)"</formula>
    </cfRule>
  </conditionalFormatting>
  <conditionalFormatting sqref="T9">
    <cfRule type="expression" dxfId="85" priority="81">
      <formula>"(B9=""YA CUENTA CON PONDERACION DE RIESGOS, NO DILIGENCIARANALISIS;B9)"</formula>
    </cfRule>
  </conditionalFormatting>
  <conditionalFormatting sqref="U9">
    <cfRule type="expression" dxfId="84" priority="80">
      <formula>"(B9=""YA CUENTA CON PONDERACION DE RIESGOS, NO DILIGENCIARANALISIS;B9)"</formula>
    </cfRule>
  </conditionalFormatting>
  <conditionalFormatting sqref="V9">
    <cfRule type="expression" dxfId="83" priority="79">
      <formula>"(B9=""YA CUENTA CON PONDERACION DE RIESGOS, NO DILIGENCIARANALISIS;B9)"</formula>
    </cfRule>
  </conditionalFormatting>
  <conditionalFormatting sqref="Q10:Q90">
    <cfRule type="expression" dxfId="82" priority="78">
      <formula>"(B9=""YA CUENTA CON PONDERACION DE RIESGOS, NO DILIGENCIARANALISIS;B9)"</formula>
    </cfRule>
  </conditionalFormatting>
  <conditionalFormatting sqref="R10:R90">
    <cfRule type="expression" dxfId="81" priority="77">
      <formula>"(B9=""YA CUENTA CON PONDERACION DE RIESGOS, NO DILIGENCIARANALISIS;B9)"</formula>
    </cfRule>
  </conditionalFormatting>
  <conditionalFormatting sqref="S9:S90">
    <cfRule type="expression" dxfId="80" priority="76">
      <formula>"(B9=""YA CUENTA CON PONDERACION DE RIESGOS, NO DILIGENCIARANALISIS;B9)"</formula>
    </cfRule>
  </conditionalFormatting>
  <conditionalFormatting sqref="T10:T90">
    <cfRule type="expression" dxfId="79" priority="75">
      <formula>"(B9=""YA CUENTA CON PONDERACION DE RIESGOS, NO DILIGENCIARANALISIS;B9)"</formula>
    </cfRule>
  </conditionalFormatting>
  <conditionalFormatting sqref="U10:U90">
    <cfRule type="expression" dxfId="78" priority="74">
      <formula>"(B9=""YA CUENTA CON PONDERACION DE RIESGOS, NO DILIGENCIARANALISIS;B9)"</formula>
    </cfRule>
  </conditionalFormatting>
  <conditionalFormatting sqref="V10:V90">
    <cfRule type="expression" dxfId="77" priority="73">
      <formula>"(B9=""YA CUENTA CON PONDERACION DE RIESGOS, NO DILIGENCIARANALISIS;B9)"</formula>
    </cfRule>
  </conditionalFormatting>
  <conditionalFormatting sqref="D9:O9">
    <cfRule type="expression" dxfId="76" priority="71">
      <formula>"(B9=""YA CUENTA CON PONDERACION DE RIESGOS, NO DILIGENCIARANALISIS;B9)"</formula>
    </cfRule>
  </conditionalFormatting>
  <conditionalFormatting sqref="C22:O28 C30:O30">
    <cfRule type="expression" dxfId="75" priority="16">
      <formula>"(B9=""YA CUENTA CON PONDERACION DE RIESGOS, NO DILIGENCIARANALISIS;B9)"</formula>
    </cfRule>
  </conditionalFormatting>
  <conditionalFormatting sqref="C15:O15">
    <cfRule type="expression" dxfId="74" priority="38">
      <formula>"(B9=""YA CUENTA CON PONDERACION DE RIESGOS, NO DILIGENCIARANALISIS;B9)"</formula>
    </cfRule>
  </conditionalFormatting>
  <conditionalFormatting sqref="C15:O15">
    <cfRule type="expression" dxfId="73" priority="33">
      <formula>"(B9=""YA CUENTA CON PONDERACION DE RIESGOS, NO DILIGENCIARANALISIS;B9)"</formula>
    </cfRule>
  </conditionalFormatting>
  <conditionalFormatting sqref="C29:O29">
    <cfRule type="expression" dxfId="72" priority="15">
      <formula>"(B9=""YA CUENTA CON PONDERACION DE RIESGOS, NO DILIGENCIARANALISIS;B9)"</formula>
    </cfRule>
  </conditionalFormatting>
  <conditionalFormatting sqref="D27:O27">
    <cfRule type="expression" dxfId="71" priority="17">
      <formula>"(B9=""YA CUENTA CON PONDERACION DE RIESGOS, NO DILIGENCIARANALISIS;B9)"</formula>
    </cfRule>
  </conditionalFormatting>
  <conditionalFormatting sqref="C31:O47">
    <cfRule type="expression" dxfId="70" priority="12">
      <formula>"(B9=""YA CUENTA CON PONDERACION DE RIESGOS, NO DILIGENCIARANALISIS;B9)"</formula>
    </cfRule>
  </conditionalFormatting>
  <conditionalFormatting sqref="D22:O24">
    <cfRule type="expression" dxfId="69" priority="18">
      <formula>"(B9=""YA CUENTA CON PONDERACION DE RIESGOS, NO DILIGENCIARANALISIS;B9)"</formula>
    </cfRule>
  </conditionalFormatting>
  <conditionalFormatting sqref="D31:O31">
    <cfRule type="expression" dxfId="68" priority="14">
      <formula>"(B9=""YA CUENTA CON PONDERACION DE RIESGOS, NO DILIGENCIARANALISIS;B9)"</formula>
    </cfRule>
  </conditionalFormatting>
  <conditionalFormatting sqref="D42:O42">
    <cfRule type="expression" dxfId="67" priority="13">
      <formula>"(B9=""YA CUENTA CON PONDERACION DE RIESGOS, NO DILIGENCIARANALISIS;B9)"</formula>
    </cfRule>
  </conditionalFormatting>
  <conditionalFormatting sqref="C13:O14">
    <cfRule type="expression" dxfId="66" priority="11">
      <formula>"(B9=""YA CUENTA CON PONDERACION DE RIESGOS, NO DILIGENCIARANALISIS;B9)"</formula>
    </cfRule>
  </conditionalFormatting>
  <conditionalFormatting sqref="C16:O17">
    <cfRule type="expression" dxfId="65" priority="10">
      <formula>"(B9=""YA CUENTA CON PONDERACION DE RIESGOS, NO DILIGENCIARANALISIS;B9)"</formula>
    </cfRule>
  </conditionalFormatting>
  <conditionalFormatting sqref="C16:O17">
    <cfRule type="expression" dxfId="64" priority="9">
      <formula>"(B9=""YA CUENTA CON PONDERACION DE RIESGOS, NO DILIGENCIARANALISIS;B9)"</formula>
    </cfRule>
  </conditionalFormatting>
  <conditionalFormatting sqref="C16:O17">
    <cfRule type="expression" dxfId="63" priority="8">
      <formula>"(B9=""YA CUENTA CON PONDERACION DE RIESGOS, NO DILIGENCIARANALISIS;B9)"</formula>
    </cfRule>
  </conditionalFormatting>
  <conditionalFormatting sqref="C18:O18">
    <cfRule type="expression" dxfId="62" priority="7">
      <formula>"(B9=""YA CUENTA CON PONDERACION DE RIESGOS, NO DILIGENCIARANALISIS;B9)"</formula>
    </cfRule>
  </conditionalFormatting>
  <conditionalFormatting sqref="C19:O19">
    <cfRule type="expression" dxfId="61" priority="6">
      <formula>"(B9=""YA CUENTA CON PONDERACION DE RIESGOS, NO DILIGENCIARANALISIS;B9)"</formula>
    </cfRule>
  </conditionalFormatting>
  <conditionalFormatting sqref="C19:O19">
    <cfRule type="expression" dxfId="60" priority="5">
      <formula>"(B9=""YA CUENTA CON PONDERACION DE RIESGOS, NO DILIGENCIARANALISIS;B9)"</formula>
    </cfRule>
  </conditionalFormatting>
  <conditionalFormatting sqref="C19:O19">
    <cfRule type="expression" dxfId="59" priority="4">
      <formula>"(B9=""YA CUENTA CON PONDERACION DE RIESGOS, NO DILIGENCIARANALISIS;B9)"</formula>
    </cfRule>
  </conditionalFormatting>
  <conditionalFormatting sqref="C21:O21">
    <cfRule type="expression" dxfId="58" priority="3">
      <formula>"(B9=""YA CUENTA CON PONDERACION DE RIESGOS, NO DILIGENCIARANALISIS;B9)"</formula>
    </cfRule>
  </conditionalFormatting>
  <conditionalFormatting sqref="C20:O20">
    <cfRule type="expression" dxfId="57" priority="2">
      <formula>"(B9=""YA CUENTA CON PONDERACION DE RIESGOS, NO DILIGENCIARANALISIS;B9)"</formula>
    </cfRule>
  </conditionalFormatting>
  <conditionalFormatting sqref="C48:O52">
    <cfRule type="expression" dxfId="56" priority="1">
      <formula>"(B9=""YA CUENTA CON PONDERACION DE RIESGOS, NO DILIGENCIARANALISIS;B9)"</formula>
    </cfRule>
  </conditionalFormatting>
  <dataValidations count="6">
    <dataValidation type="list" allowBlank="1" showInputMessage="1" showErrorMessage="1" sqref="O9:O90">
      <formula1>"Critica no recuperable, Critica con recuperación parcial, Falta de oportunidad para atención usuarios, Falta de oportunidad para gestión de los procesos"</formula1>
    </dataValidation>
    <dataValidation type="list" allowBlank="1" showInputMessage="1" showErrorMessage="1" sqref="K9:K90">
      <formula1>"Hechos de Corrupción, Incumplimiento de servicios, Retrasos en los servicios, Quejas por incumplimientos o retrasos"</formula1>
    </dataValidation>
    <dataValidation type="list" allowBlank="1" showInputMessage="1" showErrorMessage="1" sqref="E9:E90">
      <formula1>"3 días,2 días, 1 día, Varias horas"</formula1>
    </dataValidation>
    <dataValidation type="list" allowBlank="1" showInputMessage="1" showErrorMessage="1" sqref="M53:M90 I53:I90 G53:G90 C9:C21 M9:M21 I9:I21 G9:G21 G31:G47 I31:I47 M31:M47 C31:C47 C53:C90">
      <formula1>$A$97:$A$100</formula1>
    </dataValidation>
    <dataValidation type="list" allowBlank="1" showInputMessage="1" showErrorMessage="1" sqref="G22:G30 C22:C30 M22:M30 I22:I30">
      <formula1>$A$98:$A$101</formula1>
    </dataValidation>
    <dataValidation type="list" allowBlank="1" showInputMessage="1" showErrorMessage="1" sqref="C48:C52 G48:G52 M48:M52 I48:I52">
      <formula1>$A$95:$A$98</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19</vt:i4>
      </vt:variant>
    </vt:vector>
  </HeadingPairs>
  <TitlesOfParts>
    <vt:vector size="34" baseType="lpstr">
      <vt:lpstr>MENU CAJA DE HERRAMIENTAS</vt:lpstr>
      <vt:lpstr>Resumen PAA 2023</vt:lpstr>
      <vt:lpstr>Organigrama</vt:lpstr>
      <vt:lpstr>GLOSARIO</vt:lpstr>
      <vt:lpstr>MIPPA 1</vt:lpstr>
      <vt:lpstr>CONOCIMIENTO ENT</vt:lpstr>
      <vt:lpstr>PRIORIZACIÓN (2)</vt:lpstr>
      <vt:lpstr>MIPPA 1.1</vt:lpstr>
      <vt:lpstr>ANALISIS OCI</vt:lpstr>
      <vt:lpstr>MET CALCULO RECURSOS</vt:lpstr>
      <vt:lpstr>1. Horas requeridas PAAI</vt:lpstr>
      <vt:lpstr>MIPPA 2</vt:lpstr>
      <vt:lpstr>2. Días -horas hábiles x vig</vt:lpstr>
      <vt:lpstr>PAA OCI  </vt:lpstr>
      <vt:lpstr>PRIORIZACIÓN</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win 11 ultimate</cp:lastModifiedBy>
  <dcterms:created xsi:type="dcterms:W3CDTF">2019-03-03T03:38:53Z</dcterms:created>
  <dcterms:modified xsi:type="dcterms:W3CDTF">2024-08-01T20:14:47Z</dcterms:modified>
</cp:coreProperties>
</file>